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workbookProtection workbookPassword="9338" lockStructure="1"/>
  <bookViews>
    <workbookView xWindow="240" yWindow="60" windowWidth="20610" windowHeight="9435" tabRatio="500"/>
  </bookViews>
  <sheets>
    <sheet name="Presupuesto" sheetId="1" r:id="rId1"/>
    <sheet name="Instrucciones" sheetId="2" r:id="rId2"/>
    <sheet name="Form A.3" sheetId="3" r:id="rId3"/>
    <sheet name="Tablas" sheetId="4" state="hidden" r:id="rId4"/>
    <sheet name="Historico versiones" sheetId="5" state="hidden" r:id="rId5"/>
  </sheets>
  <externalReferences>
    <externalReference r:id="rId6"/>
  </externalReferences>
  <definedNames>
    <definedName name="periodo">[1]Hoja2!$B$1:$B$2</definedName>
    <definedName name="periodocorto">[1]Hoja2!$C$1</definedName>
    <definedName name="tipos">[1]Hoja2!$D$1:$D$2</definedName>
    <definedName name="titulacion">[1]Hoja2!$A$20:$A$23</definedName>
  </definedNames>
  <calcPr calcId="144525"/>
  <extLst>
    <ext uri="smNativeData">
      <pm:revision xmlns:pm="smNativeData" day="1592217974" val="976" rev="124" rev64="64" revOS="3" revMin="124" revMax="0"/>
      <pm:docPrefs xmlns:pm="smNativeData" id="1592217974" fixedDigits="0" showNotice="1" showFrameBounds="1" autoChart="1" recalcOnPrint="1" recalcOnCopy="1" finalRounding="1" compatTextArt="1" tab="567" useDefinedPrintRange="1" printArea="currentSheet"/>
      <pm:compatibility xmlns:pm="smNativeData" id="1592217974" overlapCells="1"/>
      <pm:defCurrency xmlns:pm="smNativeData" id="1592217974"/>
    </ext>
  </extLst>
</workbook>
</file>

<file path=xl/calcChain.xml><?xml version="1.0" encoding="utf-8"?>
<calcChain xmlns="http://schemas.openxmlformats.org/spreadsheetml/2006/main">
  <c r="C27" i="4" l="1"/>
  <c r="C42" i="4" s="1"/>
  <c r="B27" i="4"/>
  <c r="B42" i="4" s="1"/>
  <c r="C26" i="4"/>
  <c r="C41" i="4" s="1"/>
  <c r="B26" i="4"/>
  <c r="B41" i="4" s="1"/>
  <c r="C25" i="4"/>
  <c r="C40" i="4" s="1"/>
  <c r="B25" i="4"/>
  <c r="B40" i="4" s="1"/>
  <c r="C24" i="4"/>
  <c r="C39" i="4" s="1"/>
  <c r="B24" i="4"/>
  <c r="B39" i="4" s="1"/>
  <c r="C23" i="4"/>
  <c r="C38" i="4" s="1"/>
  <c r="B23" i="4"/>
  <c r="B38" i="4" s="1"/>
  <c r="C22" i="4"/>
  <c r="C37" i="4" s="1"/>
  <c r="B22" i="4"/>
  <c r="B37" i="4" s="1"/>
  <c r="C21" i="4"/>
  <c r="C36" i="4" s="1"/>
  <c r="B21" i="4"/>
  <c r="B36" i="4" s="1"/>
  <c r="C20" i="4"/>
  <c r="C35" i="4" s="1"/>
  <c r="B20" i="4"/>
  <c r="B35" i="4" s="1"/>
  <c r="C19" i="4"/>
  <c r="B19" i="4"/>
  <c r="C18" i="4"/>
  <c r="C34" i="4" s="1"/>
  <c r="B18" i="4"/>
  <c r="B34" i="4" s="1"/>
  <c r="C17" i="4"/>
  <c r="C33" i="4" s="1"/>
  <c r="B17" i="4"/>
  <c r="B33" i="4" s="1"/>
  <c r="C16" i="4"/>
  <c r="C32" i="4" s="1"/>
  <c r="B16" i="4"/>
  <c r="B32" i="4" s="1"/>
  <c r="D11" i="4"/>
  <c r="D10" i="4"/>
  <c r="C9" i="4"/>
  <c r="B8" i="4"/>
  <c r="C8" i="4" s="1"/>
  <c r="C7" i="4"/>
  <c r="C6" i="4"/>
  <c r="C5" i="4"/>
  <c r="G4" i="4"/>
  <c r="B4" i="4"/>
  <c r="C4" i="4" s="1"/>
  <c r="G3" i="4"/>
  <c r="C3" i="4"/>
  <c r="G2" i="4"/>
  <c r="C2" i="4"/>
  <c r="B28" i="3"/>
  <c r="E28" i="3" s="1"/>
  <c r="B27" i="3"/>
  <c r="E27" i="3" s="1"/>
  <c r="B26" i="3"/>
  <c r="E26" i="3" s="1"/>
  <c r="B25" i="3"/>
  <c r="E25" i="3" s="1"/>
  <c r="B24" i="3"/>
  <c r="E24" i="3" s="1"/>
  <c r="B23" i="3"/>
  <c r="E23" i="3" s="1"/>
  <c r="B22" i="3"/>
  <c r="E22" i="3" s="1"/>
  <c r="B21" i="3"/>
  <c r="E21" i="3" s="1"/>
  <c r="B20" i="3"/>
  <c r="E20" i="3" s="1"/>
  <c r="B19" i="3"/>
  <c r="E19" i="3" s="1"/>
  <c r="B18" i="3"/>
  <c r="E18" i="3" s="1"/>
  <c r="B17" i="3"/>
  <c r="E17" i="3" s="1"/>
  <c r="B16" i="3"/>
  <c r="E16" i="3" s="1"/>
  <c r="B15" i="3"/>
  <c r="E15" i="3" s="1"/>
  <c r="B14" i="3"/>
  <c r="E14" i="3" s="1"/>
  <c r="B13" i="3"/>
  <c r="E13" i="3" s="1"/>
  <c r="B12" i="3"/>
  <c r="E12" i="3" s="1"/>
  <c r="B11" i="3"/>
  <c r="E11" i="3" s="1"/>
  <c r="E29" i="3" s="1"/>
  <c r="E121" i="1"/>
  <c r="E111" i="1"/>
  <c r="E100" i="1"/>
  <c r="H97" i="1"/>
  <c r="I96" i="1"/>
  <c r="I95" i="1"/>
  <c r="I94" i="1"/>
  <c r="I97" i="1" s="1"/>
  <c r="E87" i="1"/>
  <c r="H71" i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E62" i="1"/>
  <c r="G51" i="1"/>
  <c r="K50" i="1"/>
  <c r="J50" i="1"/>
  <c r="I50" i="1"/>
  <c r="H50" i="1"/>
  <c r="B50" i="1"/>
  <c r="K49" i="1"/>
  <c r="J49" i="1"/>
  <c r="I49" i="1"/>
  <c r="H49" i="1"/>
  <c r="B49" i="1"/>
  <c r="K48" i="1"/>
  <c r="J48" i="1"/>
  <c r="I48" i="1"/>
  <c r="H48" i="1"/>
  <c r="B48" i="1"/>
  <c r="K47" i="1"/>
  <c r="J47" i="1"/>
  <c r="I47" i="1"/>
  <c r="H47" i="1"/>
  <c r="B47" i="1"/>
  <c r="K46" i="1"/>
  <c r="J46" i="1"/>
  <c r="I46" i="1"/>
  <c r="H46" i="1"/>
  <c r="B46" i="1"/>
  <c r="K45" i="1"/>
  <c r="J45" i="1"/>
  <c r="I45" i="1"/>
  <c r="H45" i="1"/>
  <c r="B45" i="1"/>
  <c r="K44" i="1"/>
  <c r="J44" i="1"/>
  <c r="I44" i="1"/>
  <c r="H44" i="1"/>
  <c r="B44" i="1"/>
  <c r="K43" i="1"/>
  <c r="J43" i="1"/>
  <c r="I43" i="1"/>
  <c r="H43" i="1"/>
  <c r="B43" i="1"/>
  <c r="K42" i="1"/>
  <c r="J42" i="1"/>
  <c r="I42" i="1"/>
  <c r="H42" i="1"/>
  <c r="H51" i="1" s="1"/>
  <c r="B42" i="1"/>
  <c r="G40" i="1"/>
  <c r="H39" i="1"/>
  <c r="F39" i="1"/>
  <c r="H38" i="1"/>
  <c r="F38" i="1"/>
  <c r="H37" i="1"/>
  <c r="F37" i="1"/>
  <c r="H36" i="1"/>
  <c r="F36" i="1"/>
  <c r="H35" i="1"/>
  <c r="F35" i="1"/>
  <c r="H34" i="1"/>
  <c r="F34" i="1"/>
  <c r="F33" i="1"/>
  <c r="H33" i="1" s="1"/>
  <c r="F32" i="1"/>
  <c r="H32" i="1" s="1"/>
  <c r="F31" i="1"/>
  <c r="H31" i="1" s="1"/>
  <c r="H40" i="1" s="1"/>
  <c r="H52" i="1" s="1"/>
  <c r="F25" i="1"/>
  <c r="F18" i="1"/>
  <c r="F8" i="3" s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F7" i="1"/>
  <c r="F5" i="1"/>
  <c r="F3" i="1"/>
  <c r="F2" i="1"/>
  <c r="F4" i="1" s="1"/>
  <c r="D8" i="3" l="1"/>
  <c r="J71" i="1"/>
  <c r="F6" i="1" s="1"/>
  <c r="F16" i="1" s="1"/>
  <c r="K66" i="1"/>
  <c r="J72" i="1"/>
  <c r="J5" i="1" s="1"/>
  <c r="C31" i="3"/>
  <c r="E8" i="3" l="1"/>
  <c r="G15" i="1"/>
  <c r="F17" i="1"/>
  <c r="I8" i="3"/>
  <c r="K8" i="3" s="1"/>
  <c r="M8" i="3" s="1"/>
  <c r="N8" i="3" s="1"/>
  <c r="I110" i="1" l="1"/>
  <c r="F110" i="1"/>
  <c r="I109" i="1"/>
  <c r="F19" i="1"/>
  <c r="F20" i="1" l="1"/>
  <c r="F21" i="1" s="1"/>
  <c r="J6" i="1" l="1"/>
  <c r="J7" i="1" l="1"/>
  <c r="J4" i="1" s="1"/>
  <c r="H1" i="1" s="1"/>
</calcChain>
</file>

<file path=xl/sharedStrings.xml><?xml version="1.0" encoding="utf-8"?>
<sst xmlns="http://schemas.openxmlformats.org/spreadsheetml/2006/main" count="204" uniqueCount="154">
  <si>
    <t>Cost Category</t>
  </si>
  <si>
    <t xml:space="preserve">Total in Euro </t>
  </si>
  <si>
    <t>v4.3</t>
  </si>
  <si>
    <t>Direct Costs</t>
  </si>
  <si>
    <t>Personnel</t>
  </si>
  <si>
    <t>Staff</t>
  </si>
  <si>
    <t>Hired personnel</t>
  </si>
  <si>
    <t>(A) Total Direct Costs for Personnel (in Euro)</t>
  </si>
  <si>
    <t>GASTOS (que hay que compensar)</t>
  </si>
  <si>
    <t>Other direct costs</t>
  </si>
  <si>
    <t xml:space="preserve">Travel </t>
  </si>
  <si>
    <t>Equipamiento no eleg.</t>
  </si>
  <si>
    <t>Equipment</t>
  </si>
  <si>
    <t>5% Retención FGUCM</t>
  </si>
  <si>
    <t>Consumables</t>
  </si>
  <si>
    <t>Retención UCM</t>
  </si>
  <si>
    <t>Publications (including Open Access fees), etc.</t>
  </si>
  <si>
    <t>Other (please specified)</t>
  </si>
  <si>
    <t>(B) Total Other Direct Costs (in Euro)</t>
  </si>
  <si>
    <t>Total Direct Costs (A + B) (in Euro)</t>
  </si>
  <si>
    <t>(C) – Subcontracting Costs (no overheads) (in Euro)</t>
  </si>
  <si>
    <t>(F) – Indirect Costs (overheads) 25% of Direct Costs] (in Euro)</t>
  </si>
  <si>
    <t>Total Estimated Eligible Costs (A + B + C + F) (in Euro)</t>
  </si>
  <si>
    <t>Total Requested EU Contribution (in Euro)</t>
  </si>
  <si>
    <t>PRESUPUESTO DEL PROYECTO</t>
  </si>
  <si>
    <t>Duration (# months)</t>
  </si>
  <si>
    <t>PERSONNEL</t>
  </si>
  <si>
    <t>Rellenar celdas en :</t>
  </si>
  <si>
    <t>STAFF: description or  Name</t>
  </si>
  <si>
    <t>Category</t>
  </si>
  <si>
    <t>PM rate</t>
  </si>
  <si>
    <t># PMs</t>
  </si>
  <si>
    <t>Costs</t>
  </si>
  <si>
    <t>Name of IP</t>
  </si>
  <si>
    <t>Titular de Universidad</t>
  </si>
  <si>
    <t>Senior Staff 2</t>
  </si>
  <si>
    <t>Senior Staff 3</t>
  </si>
  <si>
    <t>Profesor Ayudante Doctor</t>
  </si>
  <si>
    <t>STAFF - TOTAL</t>
  </si>
  <si>
    <t>Hired personnel: description or  Name</t>
  </si>
  <si>
    <t>Coste
mínimo</t>
  </si>
  <si>
    <t>Coste 
máximo</t>
  </si>
  <si>
    <t>Requisitos grupo retributivo</t>
  </si>
  <si>
    <t>Post-Doc-1</t>
  </si>
  <si>
    <t>Contratado posdoctoral tipo 1</t>
  </si>
  <si>
    <t>Student</t>
  </si>
  <si>
    <t>Licenciado o ingeniero tipo 1</t>
  </si>
  <si>
    <t>Personal a contratar - TOTAL</t>
  </si>
  <si>
    <t>TOTAL PERSONNEL COST</t>
  </si>
  <si>
    <t>Travel Cost</t>
  </si>
  <si>
    <t>Description</t>
  </si>
  <si>
    <t>Cost</t>
  </si>
  <si>
    <t>Dissemination of the project's results</t>
  </si>
  <si>
    <t>TOTAL TRAVEL COST</t>
  </si>
  <si>
    <t>Type of equipment</t>
  </si>
  <si>
    <t>Delivery Month</t>
  </si>
  <si>
    <t>% use</t>
  </si>
  <si>
    <t>Price w/v</t>
  </si>
  <si>
    <t>Depretion months</t>
  </si>
  <si>
    <t>Eligible cost</t>
  </si>
  <si>
    <t>TOTAL</t>
  </si>
  <si>
    <t>non eligible</t>
  </si>
  <si>
    <t>Notas:</t>
  </si>
  <si>
    <t>*</t>
  </si>
  <si>
    <t>Si el equipo supera los 15.000,00 €  hay que sacarlo a concurso público ==&gt; esto supone un retraso de unos 6 meses</t>
  </si>
  <si>
    <t>Para el resto de equipos, suponer un retraso en la compra de unos 4 meses</t>
  </si>
  <si>
    <t>Consumable costs</t>
  </si>
  <si>
    <t>not specified</t>
  </si>
  <si>
    <t>TOTAL CONSUMABLES COST</t>
  </si>
  <si>
    <t>Publications costs</t>
  </si>
  <si>
    <t>Coste unitario</t>
  </si>
  <si>
    <t># publicaciones</t>
  </si>
  <si>
    <t>Coste TOTAL</t>
  </si>
  <si>
    <t>TOTAL PUBLICATIONS COST</t>
  </si>
  <si>
    <t>OTHER costs</t>
  </si>
  <si>
    <t>audit costs</t>
  </si>
  <si>
    <t>TOTAL OTHER COST</t>
  </si>
  <si>
    <t>Subcontracting costs</t>
  </si>
  <si>
    <t>1.- Rellenar los datos del Personal fijo de la UCM (Profesores)</t>
  </si>
  <si>
    <t>2.- Rellenar los datos del personal contratado con cargo al proyecto</t>
  </si>
  <si>
    <t>3.- Rellenar presupuesto para viajes</t>
  </si>
  <si>
    <t>4.- Rellenar presupuesto para equipos</t>
  </si>
  <si>
    <t>5.- Rellenar presupuesto para consumibles</t>
  </si>
  <si>
    <t>6.- Rellenar presupuesto para publicaciones</t>
  </si>
  <si>
    <t>7.- Rellenar presupuesto para otros gastos</t>
  </si>
  <si>
    <t>8.- Rellenar presupuesto para subcontracting</t>
  </si>
  <si>
    <t>Beneficiary:</t>
  </si>
  <si>
    <t>UNIVERSIDAD COMPLUTENSE DE MADRID</t>
  </si>
  <si>
    <t>Project:</t>
  </si>
  <si>
    <t>PI:</t>
  </si>
  <si>
    <t>Participant</t>
  </si>
  <si>
    <t>Country</t>
  </si>
  <si>
    <t>(A) 
Direct personnel costs/€</t>
  </si>
  <si>
    <t>(B)
Other direct costs/€</t>
  </si>
  <si>
    <t>(C)
Direct costs of sub-contracting/€</t>
  </si>
  <si>
    <t>(D)
Direct costs of providing financial support to third parties/€</t>
  </si>
  <si>
    <t>(E)
Costs of inkind contributions not used on the beneficiary's premises/€</t>
  </si>
  <si>
    <t>(F)
Indirect Costs/€
(=0.25(A+B-E))</t>
  </si>
  <si>
    <t>(G)
Special unit costs covering direct &amp; indirect costs</t>
  </si>
  <si>
    <t>(H)
Total estimated eligible costs/€ (=A+B+C+D+F+G)</t>
  </si>
  <si>
    <t>(I)
Reimburse-ment rate</t>
  </si>
  <si>
    <t>(J)
Max. grant / € (=H*I)</t>
  </si>
  <si>
    <t>(K) 
Requested grant / €</t>
  </si>
  <si>
    <t>UNIVERSIDAD COMPLUTENSE</t>
  </si>
  <si>
    <t>ES</t>
  </si>
  <si>
    <t>WORKLOAD (P-M)</t>
  </si>
  <si>
    <t>EFFORT (#PMs)</t>
  </si>
  <si>
    <t>TOTALS</t>
  </si>
  <si>
    <t>AVERAGE P-M COST:</t>
  </si>
  <si>
    <t>Categoría</t>
  </si>
  <si>
    <t>Coste / Mes</t>
  </si>
  <si>
    <t>Coste / Día</t>
  </si>
  <si>
    <t>Tipo Equipo</t>
  </si>
  <si>
    <t>Meses amortización</t>
  </si>
  <si>
    <t>Profesor Ayudante</t>
  </si>
  <si>
    <t>Ordenadores</t>
  </si>
  <si>
    <t>Licencias/otros informatica</t>
  </si>
  <si>
    <t>Atracción Talento-Mod2_Jovenes doctores</t>
  </si>
  <si>
    <t>No Informático</t>
  </si>
  <si>
    <t>Contratado Ramón y Cajal</t>
  </si>
  <si>
    <t>Profesor Contratado Doctor</t>
  </si>
  <si>
    <t>Atracción Talento-Mod1_Doctores con experiencia</t>
  </si>
  <si>
    <t>Catedrático de Universidad</t>
  </si>
  <si>
    <t>Días laborales anuales</t>
  </si>
  <si>
    <t>MES</t>
  </si>
  <si>
    <t>TOTAL ANUAL</t>
  </si>
  <si>
    <t>VALORES ANTERIORES</t>
  </si>
  <si>
    <t>Técnico</t>
  </si>
  <si>
    <t>Se deberá especificar la experiencia profesional a acreditar</t>
  </si>
  <si>
    <t>Técnico de FP tipo 1</t>
  </si>
  <si>
    <t>Técnico de FP tipo 2</t>
  </si>
  <si>
    <t>Formación Profesional de grado superior o Formación Profesional de grado medio con tres años de experiencia profesional</t>
  </si>
  <si>
    <t>Titulados Universitarios Grado Medio</t>
  </si>
  <si>
    <t>Licenciado o ingeniero tipo 2</t>
  </si>
  <si>
    <t>Máster, DEA, o Suficiencia investigadora, o al menos 3 años de experiencia investigadora</t>
  </si>
  <si>
    <t>Licenciado o ingeniero tipo 3</t>
  </si>
  <si>
    <t xml:space="preserve">Al menos 2 años de experiencia en gestión de proyectos </t>
  </si>
  <si>
    <t>Contratado posdoctoral tipo 2</t>
  </si>
  <si>
    <t>Más de 3 años de experiencia posdoctoral ó estar acreditado a la figura de ayudante doctor</t>
  </si>
  <si>
    <t>Contratado posdoctoral tipo 3</t>
  </si>
  <si>
    <t>Más de 7 años de experiencia posdoctoral, o haber sido beneficiario de un contrato laboral financiado  a través de un programa competitivo (p.e. Marie Curie o RyC)</t>
  </si>
  <si>
    <t>Investigador senior tipo 1</t>
  </si>
  <si>
    <t>Más de 12 años de experiencia posdoctoral, o haber sido beneficiario de un contrato laboral financiado  a través de un programa competitivo (p.e. Marie Curie o RyC).Además, estar acreditado a la figura de Profesor Contratado Doctor o Profesor Titular de Universidad, o asimilable, o haber disfrutado previamente de algún tipo de vinculación laboral bajo una figura asimilable a éstas</t>
  </si>
  <si>
    <t>Investigador senior tipo 2</t>
  </si>
  <si>
    <t>Más de 20 años de experiencia posdoctoral y estar acreditado a la figura de Catedrático de Universidad, o asimilable, o haber disfrutado previamente de algún tipo de vinculación laboral bajo una figura asimilable a ésta.</t>
  </si>
  <si>
    <t>DÍA</t>
  </si>
  <si>
    <t>Se deberá especificar el nivel de ciclo formativo.</t>
  </si>
  <si>
    <t>Más de tres años de experiencia profesional. Se deberá especificar el nivel de ciclo formativo.</t>
  </si>
  <si>
    <t>Sin requisitos específicos</t>
  </si>
  <si>
    <t>Versión</t>
  </si>
  <si>
    <t>Modificación</t>
  </si>
  <si>
    <t>4.3</t>
  </si>
  <si>
    <t>Corregido error cálculo equipment costs: si el periodo de uso es mayor que el periodo de amortización el coste es igual al valor de adquisición</t>
  </si>
  <si>
    <t>Incluidos Atracción de Talento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</si>
</sst>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\ _€"/>
    <numFmt numFmtId="167" formatCode="0.0"/>
    <numFmt numFmtId="168" formatCode="#,##0.0\ _€"/>
    <numFmt numFmtId="169" formatCode="#,##0.00\ &quot;€&quot;"/>
  </numFmts>
  <fonts count="19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1F4E78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FFFFFF"/>
      <name val="Times New Roman"/>
      <family val="1"/>
    </font>
    <font>
      <sz val="11"/>
      <color rgb="FFFFFFFF"/>
      <name val="Calibri"/>
      <family val="2"/>
    </font>
    <font>
      <b/>
      <sz val="14"/>
      <color rgb="FF1F4E78"/>
      <name val="Calibri"/>
      <family val="2"/>
    </font>
    <font>
      <sz val="14"/>
      <color rgb="FFFFFFFF"/>
      <name val="Calibri"/>
      <family val="2"/>
    </font>
    <font>
      <sz val="11"/>
      <color rgb="FFFF0000"/>
      <name val="Calibri"/>
      <family val="2"/>
    </font>
    <font>
      <sz val="14"/>
      <color rgb="FF000000"/>
      <name val="Calibri"/>
      <family val="2"/>
    </font>
    <font>
      <sz val="20"/>
      <color rgb="FF000000"/>
      <name val="Calibri"/>
      <family val="2"/>
    </font>
    <font>
      <b/>
      <sz val="22"/>
      <color rgb="FFFF0000"/>
      <name val="Calibri"/>
      <family val="2"/>
    </font>
    <font>
      <b/>
      <sz val="12"/>
      <color rgb="FF1F4E7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22"/>
      <color rgb="FF000000"/>
      <name val="Calibri"/>
      <family val="2"/>
    </font>
    <font>
      <sz val="11"/>
      <color rgb="FF000000"/>
      <name val="Calibri"/>
      <family val="2"/>
    </font>
  </fonts>
  <fills count="14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ACB9CA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333F4F"/>
        <bgColor rgb="FFFFFFFF"/>
      </patternFill>
    </fill>
    <fill>
      <patternFill patternType="solid">
        <fgColor rgb="FFACB9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6DCE4"/>
        <bgColor rgb="FFFFFFFF"/>
      </patternFill>
    </fill>
    <fill>
      <patternFill patternType="solid">
        <fgColor rgb="FF333F4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203764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ACB9CA"/>
        <bgColor rgb="FFFFFFFF"/>
      </patternFill>
    </fill>
    <fill>
      <patternFill patternType="solid">
        <fgColor rgb="FFACB9CA"/>
        <bgColor rgb="FFFFFFFF"/>
      </patternFill>
    </fill>
    <fill>
      <patternFill patternType="solid">
        <fgColor rgb="FFACB9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</fills>
  <borders count="14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24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4" borderId="3" xfId="0" applyFont="1" applyFill="1" applyBorder="1" applyAlignment="1">
      <alignment wrapText="1"/>
    </xf>
    <xf numFmtId="0" fontId="1" fillId="5" borderId="4" xfId="0" applyFont="1" applyFill="1" applyBorder="1"/>
    <xf numFmtId="0" fontId="0" fillId="6" borderId="5" xfId="0" applyFill="1" applyBorder="1"/>
    <xf numFmtId="0" fontId="0" fillId="7" borderId="6" xfId="0" applyFill="1" applyBorder="1"/>
    <xf numFmtId="0" fontId="0" fillId="8" borderId="7" xfId="0" applyFill="1" applyBorder="1"/>
    <xf numFmtId="0" fontId="0" fillId="9" borderId="8" xfId="0" applyFill="1" applyBorder="1"/>
    <xf numFmtId="0" fontId="0" fillId="10" borderId="9" xfId="0" applyFill="1" applyBorder="1"/>
    <xf numFmtId="0" fontId="0" fillId="11" borderId="10" xfId="0" applyFill="1" applyBorder="1"/>
    <xf numFmtId="0" fontId="0" fillId="12" borderId="11" xfId="0" applyFill="1" applyBorder="1"/>
    <xf numFmtId="0" fontId="0" fillId="13" borderId="12" xfId="0" applyFill="1" applyBorder="1"/>
    <xf numFmtId="0" fontId="2" fillId="2" borderId="1" xfId="0" applyFont="1" applyFill="1" applyBorder="1"/>
    <xf numFmtId="0" fontId="1" fillId="14" borderId="13" xfId="0" applyFont="1" applyFill="1" applyBorder="1" applyAlignment="1">
      <alignment wrapText="1"/>
    </xf>
    <xf numFmtId="0" fontId="0" fillId="15" borderId="14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11" borderId="10" xfId="0" applyFill="1" applyBorder="1" applyAlignment="1">
      <alignment wrapText="1"/>
    </xf>
    <xf numFmtId="0" fontId="0" fillId="10" borderId="9" xfId="0" applyFill="1" applyBorder="1" applyAlignment="1">
      <alignment wrapText="1"/>
    </xf>
    <xf numFmtId="0" fontId="1" fillId="16" borderId="15" xfId="0" applyFont="1" applyFill="1" applyBorder="1" applyAlignment="1">
      <alignment wrapText="1"/>
    </xf>
    <xf numFmtId="0" fontId="1" fillId="17" borderId="16" xfId="0" applyFont="1" applyFill="1" applyBorder="1" applyAlignment="1">
      <alignment wrapText="1"/>
    </xf>
    <xf numFmtId="0" fontId="4" fillId="18" borderId="17" xfId="0" applyFont="1" applyFill="1" applyBorder="1" applyAlignment="1">
      <alignment vertical="center" wrapText="1"/>
    </xf>
    <xf numFmtId="4" fontId="1" fillId="19" borderId="18" xfId="0" applyNumberFormat="1" applyFont="1" applyFill="1" applyBorder="1"/>
    <xf numFmtId="4" fontId="1" fillId="20" borderId="19" xfId="0" applyNumberFormat="1" applyFont="1" applyFill="1" applyBorder="1"/>
    <xf numFmtId="4" fontId="1" fillId="21" borderId="20" xfId="0" applyNumberFormat="1" applyFont="1" applyFill="1" applyBorder="1"/>
    <xf numFmtId="4" fontId="1" fillId="22" borderId="21" xfId="0" applyNumberFormat="1" applyFont="1" applyFill="1" applyBorder="1"/>
    <xf numFmtId="0" fontId="8" fillId="2" borderId="1" xfId="0" applyFont="1" applyFill="1" applyBorder="1"/>
    <xf numFmtId="0" fontId="9" fillId="23" borderId="22" xfId="0" applyFont="1" applyFill="1" applyBorder="1"/>
    <xf numFmtId="4" fontId="0" fillId="24" borderId="23" xfId="0" applyNumberFormat="1" applyFill="1" applyBorder="1"/>
    <xf numFmtId="4" fontId="0" fillId="25" borderId="24" xfId="0" applyNumberFormat="1" applyFill="1" applyBorder="1"/>
    <xf numFmtId="4" fontId="0" fillId="26" borderId="25" xfId="0" applyNumberFormat="1" applyFill="1" applyBorder="1"/>
    <xf numFmtId="164" fontId="1" fillId="27" borderId="26" xfId="1" applyNumberFormat="1" applyFont="1" applyFill="1" applyBorder="1" applyAlignment="1">
      <alignment wrapText="1"/>
    </xf>
    <xf numFmtId="0" fontId="7" fillId="27" borderId="26" xfId="0" applyFont="1" applyFill="1" applyBorder="1"/>
    <xf numFmtId="4" fontId="1" fillId="27" borderId="26" xfId="0" applyNumberFormat="1" applyFont="1" applyFill="1" applyBorder="1"/>
    <xf numFmtId="4" fontId="1" fillId="28" borderId="27" xfId="0" applyNumberFormat="1" applyFont="1" applyFill="1" applyBorder="1"/>
    <xf numFmtId="4" fontId="0" fillId="29" borderId="28" xfId="0" applyNumberFormat="1" applyFill="1" applyBorder="1"/>
    <xf numFmtId="4" fontId="0" fillId="30" borderId="29" xfId="0" applyNumberFormat="1" applyFill="1" applyBorder="1"/>
    <xf numFmtId="4" fontId="0" fillId="31" borderId="30" xfId="0" applyNumberFormat="1" applyFill="1" applyBorder="1"/>
    <xf numFmtId="0" fontId="1" fillId="32" borderId="31" xfId="0" applyFont="1" applyFill="1" applyBorder="1" applyAlignment="1">
      <alignment wrapText="1"/>
    </xf>
    <xf numFmtId="0" fontId="1" fillId="32" borderId="31" xfId="0" applyFont="1" applyFill="1" applyBorder="1"/>
    <xf numFmtId="4" fontId="0" fillId="33" borderId="32" xfId="0" applyNumberFormat="1" applyFill="1" applyBorder="1"/>
    <xf numFmtId="0" fontId="0" fillId="33" borderId="32" xfId="0" applyFill="1" applyBorder="1" applyAlignment="1">
      <alignment wrapText="1"/>
    </xf>
    <xf numFmtId="0" fontId="10" fillId="2" borderId="1" xfId="0" applyFont="1" applyFill="1" applyBorder="1" applyAlignment="1">
      <alignment horizontal="right"/>
    </xf>
    <xf numFmtId="0" fontId="1" fillId="34" borderId="33" xfId="0" applyFont="1" applyFill="1" applyBorder="1" applyAlignment="1">
      <alignment wrapText="1"/>
    </xf>
    <xf numFmtId="4" fontId="0" fillId="35" borderId="34" xfId="0" applyNumberFormat="1" applyFill="1" applyBorder="1"/>
    <xf numFmtId="164" fontId="1" fillId="36" borderId="35" xfId="1" applyNumberFormat="1" applyFont="1" applyFill="1" applyBorder="1" applyAlignment="1">
      <alignment wrapText="1"/>
    </xf>
    <xf numFmtId="164" fontId="1" fillId="36" borderId="35" xfId="1" applyNumberFormat="1" applyFont="1" applyFill="1" applyBorder="1"/>
    <xf numFmtId="4" fontId="1" fillId="37" borderId="36" xfId="0" applyNumberFormat="1" applyFont="1" applyFill="1" applyBorder="1"/>
    <xf numFmtId="164" fontId="1" fillId="38" borderId="37" xfId="1" applyNumberFormat="1" applyFont="1" applyFill="1" applyBorder="1"/>
    <xf numFmtId="165" fontId="1" fillId="38" borderId="37" xfId="1" applyNumberFormat="1" applyFont="1" applyFill="1" applyBorder="1"/>
    <xf numFmtId="3" fontId="0" fillId="2" borderId="1" xfId="0" applyNumberFormat="1" applyFill="1" applyBorder="1"/>
    <xf numFmtId="4" fontId="1" fillId="39" borderId="38" xfId="0" applyNumberFormat="1" applyFont="1" applyFill="1" applyBorder="1"/>
    <xf numFmtId="0" fontId="1" fillId="40" borderId="39" xfId="0" applyFont="1" applyFill="1" applyBorder="1"/>
    <xf numFmtId="0" fontId="1" fillId="41" borderId="40" xfId="0" applyFont="1" applyFill="1" applyBorder="1"/>
    <xf numFmtId="4" fontId="1" fillId="42" borderId="41" xfId="0" applyNumberFormat="1" applyFont="1" applyFill="1" applyBorder="1"/>
    <xf numFmtId="4" fontId="1" fillId="43" borderId="42" xfId="0" applyNumberFormat="1" applyFont="1" applyFill="1" applyBorder="1"/>
    <xf numFmtId="0" fontId="3" fillId="44" borderId="43" xfId="0" applyFont="1" applyFill="1" applyBorder="1"/>
    <xf numFmtId="0" fontId="0" fillId="45" borderId="44" xfId="0" applyFill="1" applyBorder="1"/>
    <xf numFmtId="0" fontId="0" fillId="46" borderId="45" xfId="0" applyFill="1" applyBorder="1"/>
    <xf numFmtId="0" fontId="0" fillId="47" borderId="46" xfId="0" applyFill="1" applyBorder="1" applyAlignment="1">
      <alignment horizontal="right"/>
    </xf>
    <xf numFmtId="0" fontId="0" fillId="48" borderId="47" xfId="0" applyFill="1" applyBorder="1"/>
    <xf numFmtId="0" fontId="0" fillId="49" borderId="48" xfId="0" applyFill="1" applyBorder="1"/>
    <xf numFmtId="0" fontId="0" fillId="50" borderId="49" xfId="0" applyFill="1" applyBorder="1" applyAlignment="1">
      <alignment horizontal="right"/>
    </xf>
    <xf numFmtId="0" fontId="0" fillId="51" borderId="50" xfId="0" applyFill="1" applyBorder="1"/>
    <xf numFmtId="0" fontId="0" fillId="52" borderId="51" xfId="0" applyFill="1" applyBorder="1"/>
    <xf numFmtId="0" fontId="1" fillId="53" borderId="52" xfId="0" applyFont="1" applyFill="1" applyBorder="1" applyAlignment="1">
      <alignment wrapText="1"/>
    </xf>
    <xf numFmtId="0" fontId="1" fillId="36" borderId="35" xfId="0" applyFont="1" applyFill="1" applyBorder="1" applyAlignment="1">
      <alignment wrapText="1"/>
    </xf>
    <xf numFmtId="0" fontId="1" fillId="38" borderId="37" xfId="0" applyFont="1" applyFill="1" applyBorder="1"/>
    <xf numFmtId="3" fontId="0" fillId="54" borderId="53" xfId="0" applyNumberFormat="1" applyFill="1" applyBorder="1"/>
    <xf numFmtId="3" fontId="0" fillId="55" borderId="54" xfId="0" applyNumberFormat="1" applyFill="1" applyBorder="1"/>
    <xf numFmtId="3" fontId="0" fillId="56" borderId="55" xfId="0" applyNumberFormat="1" applyFill="1" applyBorder="1"/>
    <xf numFmtId="0" fontId="1" fillId="53" borderId="52" xfId="0" applyFont="1" applyFill="1" applyBorder="1"/>
    <xf numFmtId="0" fontId="1" fillId="36" borderId="35" xfId="0" applyFont="1" applyFill="1" applyBorder="1"/>
    <xf numFmtId="3" fontId="1" fillId="38" borderId="37" xfId="0" applyNumberFormat="1" applyFont="1" applyFill="1" applyBorder="1"/>
    <xf numFmtId="4" fontId="0" fillId="2" borderId="1" xfId="0" applyNumberFormat="1" applyFill="1" applyBorder="1"/>
    <xf numFmtId="4" fontId="11" fillId="57" borderId="56" xfId="0" applyNumberFormat="1" applyFont="1" applyFill="1" applyBorder="1"/>
    <xf numFmtId="4" fontId="0" fillId="58" borderId="57" xfId="0" applyNumberFormat="1" applyFill="1" applyBorder="1"/>
    <xf numFmtId="4" fontId="0" fillId="59" borderId="58" xfId="0" applyNumberFormat="1" applyFill="1" applyBorder="1"/>
    <xf numFmtId="4" fontId="0" fillId="59" borderId="58" xfId="0" applyNumberFormat="1" applyFill="1" applyBorder="1" applyAlignment="1">
      <alignment vertical="center"/>
    </xf>
    <xf numFmtId="4" fontId="1" fillId="60" borderId="59" xfId="0" applyNumberFormat="1" applyFont="1" applyFill="1" applyBorder="1"/>
    <xf numFmtId="4" fontId="1" fillId="61" borderId="60" xfId="0" applyNumberFormat="1" applyFont="1" applyFill="1" applyBorder="1"/>
    <xf numFmtId="0" fontId="0" fillId="62" borderId="61" xfId="0" applyFill="1" applyBorder="1" applyProtection="1">
      <protection locked="0"/>
    </xf>
    <xf numFmtId="0" fontId="0" fillId="63" borderId="62" xfId="0" applyFill="1" applyBorder="1" applyProtection="1">
      <protection locked="0"/>
    </xf>
    <xf numFmtId="4" fontId="0" fillId="63" borderId="62" xfId="0" applyNumberFormat="1" applyFill="1" applyBorder="1" applyProtection="1">
      <protection locked="0"/>
    </xf>
    <xf numFmtId="4" fontId="0" fillId="62" borderId="61" xfId="0" applyNumberFormat="1" applyFill="1" applyBorder="1" applyProtection="1">
      <protection locked="0"/>
    </xf>
    <xf numFmtId="0" fontId="0" fillId="57" borderId="56" xfId="0" applyFill="1" applyBorder="1" applyProtection="1">
      <protection locked="0"/>
    </xf>
    <xf numFmtId="4" fontId="0" fillId="57" borderId="56" xfId="0" applyNumberFormat="1" applyFill="1" applyBorder="1" applyProtection="1">
      <protection locked="0"/>
    </xf>
    <xf numFmtId="4" fontId="0" fillId="64" borderId="63" xfId="0" applyNumberFormat="1" applyFill="1" applyBorder="1" applyProtection="1">
      <protection locked="0"/>
    </xf>
    <xf numFmtId="4" fontId="0" fillId="65" borderId="64" xfId="0" applyNumberFormat="1" applyFill="1" applyBorder="1" applyProtection="1">
      <protection locked="0"/>
    </xf>
    <xf numFmtId="3" fontId="0" fillId="66" borderId="65" xfId="0" applyNumberFormat="1" applyFill="1" applyBorder="1" applyProtection="1">
      <protection locked="0"/>
    </xf>
    <xf numFmtId="0" fontId="0" fillId="67" borderId="66" xfId="0" applyFill="1" applyBorder="1" applyProtection="1">
      <protection locked="0"/>
    </xf>
    <xf numFmtId="3" fontId="0" fillId="68" borderId="67" xfId="0" applyNumberFormat="1" applyFill="1" applyBorder="1" applyProtection="1">
      <protection locked="0"/>
    </xf>
    <xf numFmtId="3" fontId="0" fillId="69" borderId="68" xfId="0" applyNumberFormat="1" applyFill="1" applyBorder="1" applyProtection="1">
      <protection locked="0"/>
    </xf>
    <xf numFmtId="0" fontId="0" fillId="70" borderId="69" xfId="0" applyFill="1" applyBorder="1" applyProtection="1">
      <protection locked="0"/>
    </xf>
    <xf numFmtId="0" fontId="12" fillId="71" borderId="70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/>
    <xf numFmtId="0" fontId="8" fillId="72" borderId="71" xfId="0" applyFont="1" applyFill="1" applyBorder="1" applyAlignment="1">
      <alignment horizontal="center" vertical="center" wrapText="1"/>
    </xf>
    <xf numFmtId="9" fontId="0" fillId="62" borderId="61" xfId="0" applyNumberFormat="1" applyFill="1" applyBorder="1" applyProtection="1">
      <protection locked="0"/>
    </xf>
    <xf numFmtId="9" fontId="0" fillId="57" borderId="56" xfId="0" applyNumberFormat="1" applyFill="1" applyBorder="1" applyProtection="1">
      <protection locked="0"/>
    </xf>
    <xf numFmtId="0" fontId="13" fillId="2" borderId="1" xfId="0" applyFont="1" applyFill="1" applyBorder="1" applyAlignment="1">
      <alignment vertical="center"/>
    </xf>
    <xf numFmtId="164" fontId="1" fillId="14" borderId="13" xfId="1" applyNumberFormat="1" applyFont="1" applyFill="1" applyBorder="1" applyAlignment="1">
      <alignment vertical="center" wrapText="1"/>
    </xf>
    <xf numFmtId="164" fontId="1" fillId="14" borderId="13" xfId="1" applyNumberFormat="1" applyFont="1" applyFill="1" applyBorder="1" applyAlignment="1">
      <alignment vertical="center"/>
    </xf>
    <xf numFmtId="164" fontId="1" fillId="17" borderId="16" xfId="1" applyNumberFormat="1" applyFont="1" applyFill="1" applyBorder="1" applyAlignment="1">
      <alignment vertical="center"/>
    </xf>
    <xf numFmtId="0" fontId="14" fillId="2" borderId="1" xfId="0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 indent="3"/>
      <extLst>
        <ext uri="smNativeData">
          <pm:cellMargin xmlns:pm="smNativeData" id="1592217974" l="576" r="0" t="0" b="0" textRotation="0"/>
        </ext>
      </extLst>
    </xf>
    <xf numFmtId="0" fontId="15" fillId="0" borderId="0" xfId="0" applyFont="1" applyAlignment="1">
      <alignment horizontal="right"/>
    </xf>
    <xf numFmtId="0" fontId="0" fillId="73" borderId="72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74" borderId="73" xfId="0" applyFill="1" applyBorder="1" applyAlignment="1">
      <alignment horizontal="right" vertical="center"/>
    </xf>
    <xf numFmtId="0" fontId="0" fillId="74" borderId="73" xfId="0" applyFill="1" applyBorder="1" applyAlignment="1">
      <alignment horizontal="center" vertical="center"/>
    </xf>
    <xf numFmtId="166" fontId="0" fillId="75" borderId="74" xfId="0" applyNumberFormat="1" applyFill="1" applyBorder="1" applyAlignment="1">
      <alignment horizontal="right" vertical="center"/>
    </xf>
    <xf numFmtId="166" fontId="0" fillId="74" borderId="73" xfId="0" applyNumberFormat="1" applyFill="1" applyBorder="1" applyAlignment="1">
      <alignment horizontal="right" vertical="center"/>
    </xf>
    <xf numFmtId="9" fontId="0" fillId="74" borderId="73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76" borderId="75" xfId="0" applyFont="1" applyFill="1" applyBorder="1" applyAlignment="1">
      <alignment horizontal="center"/>
    </xf>
    <xf numFmtId="0" fontId="3" fillId="77" borderId="76" xfId="0" applyFont="1" applyFill="1" applyBorder="1" applyAlignment="1">
      <alignment horizontal="center"/>
    </xf>
    <xf numFmtId="167" fontId="0" fillId="78" borderId="77" xfId="0" applyNumberFormat="1" applyFill="1" applyBorder="1" applyAlignment="1">
      <alignment horizontal="center"/>
    </xf>
    <xf numFmtId="167" fontId="0" fillId="79" borderId="78" xfId="0" applyNumberFormat="1" applyFill="1" applyBorder="1" applyAlignment="1">
      <alignment horizontal="center"/>
    </xf>
    <xf numFmtId="167" fontId="0" fillId="80" borderId="79" xfId="0" applyNumberFormat="1" applyFill="1" applyBorder="1" applyAlignment="1">
      <alignment horizontal="center"/>
    </xf>
    <xf numFmtId="167" fontId="0" fillId="81" borderId="80" xfId="0" applyNumberFormat="1" applyFill="1" applyBorder="1" applyAlignment="1">
      <alignment horizontal="center"/>
    </xf>
    <xf numFmtId="167" fontId="0" fillId="82" borderId="81" xfId="0" applyNumberFormat="1" applyFill="1" applyBorder="1" applyAlignment="1">
      <alignment horizontal="center"/>
    </xf>
    <xf numFmtId="168" fontId="0" fillId="83" borderId="82" xfId="0" applyNumberFormat="1" applyFill="1" applyBorder="1" applyAlignment="1">
      <alignment horizontal="center"/>
    </xf>
    <xf numFmtId="0" fontId="1" fillId="84" borderId="83" xfId="0" applyFont="1" applyFill="1" applyBorder="1" applyAlignment="1">
      <alignment horizontal="center"/>
    </xf>
    <xf numFmtId="0" fontId="0" fillId="85" borderId="84" xfId="0" applyFill="1" applyBorder="1" applyAlignment="1">
      <alignment wrapText="1"/>
    </xf>
    <xf numFmtId="0" fontId="0" fillId="86" borderId="85" xfId="0" applyFill="1" applyBorder="1" applyAlignment="1">
      <alignment wrapText="1"/>
    </xf>
    <xf numFmtId="0" fontId="0" fillId="87" borderId="86" xfId="0" applyFill="1" applyBorder="1" applyAlignment="1">
      <alignment wrapText="1"/>
    </xf>
    <xf numFmtId="0" fontId="0" fillId="88" borderId="87" xfId="0" applyFill="1" applyBorder="1" applyAlignment="1">
      <alignment wrapText="1"/>
    </xf>
    <xf numFmtId="0" fontId="0" fillId="89" borderId="88" xfId="0" applyFill="1" applyBorder="1" applyAlignment="1">
      <alignment wrapText="1"/>
    </xf>
    <xf numFmtId="0" fontId="0" fillId="88" borderId="87" xfId="0" applyFill="1" applyBorder="1"/>
    <xf numFmtId="0" fontId="1" fillId="90" borderId="89" xfId="0" applyFont="1" applyFill="1" applyBorder="1" applyAlignment="1">
      <alignment wrapText="1"/>
    </xf>
    <xf numFmtId="0" fontId="1" fillId="90" borderId="89" xfId="0" applyFont="1" applyFill="1" applyBorder="1"/>
    <xf numFmtId="9" fontId="0" fillId="63" borderId="62" xfId="0" applyNumberFormat="1" applyFill="1" applyBorder="1" applyProtection="1">
      <protection locked="0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4" fillId="96" borderId="95" xfId="0" applyFont="1" applyFill="1" applyBorder="1" applyAlignment="1">
      <alignment horizontal="left" vertical="center"/>
    </xf>
    <xf numFmtId="0" fontId="4" fillId="97" borderId="96" xfId="0" applyFont="1" applyFill="1" applyBorder="1" applyAlignment="1">
      <alignment horizontal="left" vertical="center"/>
    </xf>
    <xf numFmtId="0" fontId="4" fillId="18" borderId="17" xfId="0" applyFont="1" applyFill="1" applyBorder="1" applyAlignment="1">
      <alignment horizontal="left" vertical="center"/>
    </xf>
    <xf numFmtId="0" fontId="0" fillId="101" borderId="100" xfId="0" applyFill="1" applyBorder="1" applyAlignment="1">
      <alignment horizontal="left"/>
    </xf>
    <xf numFmtId="0" fontId="0" fillId="102" borderId="101" xfId="0" applyFill="1" applyBorder="1" applyAlignment="1">
      <alignment horizontal="left"/>
    </xf>
    <xf numFmtId="0" fontId="5" fillId="101" borderId="100" xfId="0" applyFont="1" applyFill="1" applyBorder="1" applyAlignment="1">
      <alignment horizontal="left" vertical="center"/>
    </xf>
    <xf numFmtId="0" fontId="5" fillId="75" borderId="74" xfId="0" applyFont="1" applyFill="1" applyBorder="1" applyAlignment="1">
      <alignment horizontal="left" vertical="center"/>
    </xf>
    <xf numFmtId="0" fontId="3" fillId="98" borderId="97" xfId="0" applyFont="1" applyFill="1" applyBorder="1" applyAlignment="1">
      <alignment horizontal="center" vertical="center" wrapText="1"/>
    </xf>
    <xf numFmtId="0" fontId="3" fillId="99" borderId="98" xfId="0" applyFont="1" applyFill="1" applyBorder="1" applyAlignment="1">
      <alignment horizontal="center" vertical="center" wrapText="1"/>
    </xf>
    <xf numFmtId="0" fontId="3" fillId="100" borderId="99" xfId="0" applyFont="1" applyFill="1" applyBorder="1" applyAlignment="1">
      <alignment horizontal="center" vertical="center" wrapText="1"/>
    </xf>
    <xf numFmtId="0" fontId="0" fillId="75" borderId="74" xfId="0" applyFill="1" applyBorder="1" applyAlignment="1">
      <alignment horizontal="left"/>
    </xf>
    <xf numFmtId="0" fontId="0" fillId="103" borderId="102" xfId="0" applyFill="1" applyBorder="1" applyAlignment="1">
      <alignment horizontal="left"/>
    </xf>
    <xf numFmtId="0" fontId="6" fillId="104" borderId="103" xfId="0" applyFont="1" applyFill="1" applyBorder="1" applyAlignment="1">
      <alignment horizontal="left" vertical="center" wrapText="1"/>
    </xf>
    <xf numFmtId="0" fontId="6" fillId="105" borderId="104" xfId="0" applyFont="1" applyFill="1" applyBorder="1" applyAlignment="1">
      <alignment horizontal="left" vertical="center" wrapText="1"/>
    </xf>
    <xf numFmtId="0" fontId="6" fillId="106" borderId="105" xfId="0" applyFont="1" applyFill="1" applyBorder="1" applyAlignment="1">
      <alignment horizontal="left" vertical="center" wrapText="1"/>
    </xf>
    <xf numFmtId="0" fontId="3" fillId="75" borderId="74" xfId="0" applyFont="1" applyFill="1" applyBorder="1" applyAlignment="1">
      <alignment horizontal="center" vertical="center" wrapText="1"/>
    </xf>
    <xf numFmtId="0" fontId="0" fillId="75" borderId="74" xfId="0" applyFill="1" applyBorder="1" applyAlignment="1">
      <alignment horizontal="left" vertical="center"/>
    </xf>
    <xf numFmtId="0" fontId="0" fillId="103" borderId="102" xfId="0" applyFill="1" applyBorder="1" applyAlignment="1">
      <alignment horizontal="left" vertical="center"/>
    </xf>
    <xf numFmtId="0" fontId="0" fillId="107" borderId="106" xfId="0" applyFill="1" applyBorder="1" applyAlignment="1">
      <alignment horizontal="center" vertical="center" wrapText="1"/>
    </xf>
    <xf numFmtId="0" fontId="0" fillId="108" borderId="107" xfId="0" applyFill="1" applyBorder="1" applyAlignment="1">
      <alignment horizontal="center" vertical="center" wrapText="1"/>
    </xf>
    <xf numFmtId="0" fontId="0" fillId="109" borderId="108" xfId="0" applyFill="1" applyBorder="1" applyAlignment="1">
      <alignment horizontal="center" vertical="center" wrapText="1"/>
    </xf>
    <xf numFmtId="0" fontId="6" fillId="115" borderId="114" xfId="0" applyFont="1" applyFill="1" applyBorder="1" applyAlignment="1">
      <alignment horizontal="left" vertical="center" wrapText="1"/>
    </xf>
    <xf numFmtId="0" fontId="6" fillId="116" borderId="115" xfId="0" applyFont="1" applyFill="1" applyBorder="1" applyAlignment="1">
      <alignment horizontal="left" vertical="center" wrapText="1"/>
    </xf>
    <xf numFmtId="0" fontId="6" fillId="61" borderId="60" xfId="0" applyFont="1" applyFill="1" applyBorder="1" applyAlignment="1">
      <alignment horizontal="left" vertical="center" wrapText="1"/>
    </xf>
    <xf numFmtId="0" fontId="4" fillId="110" borderId="109" xfId="0" applyFont="1" applyFill="1" applyBorder="1" applyAlignment="1">
      <alignment vertical="center" wrapText="1"/>
    </xf>
    <xf numFmtId="0" fontId="4" fillId="111" borderId="110" xfId="0" applyFont="1" applyFill="1" applyBorder="1" applyAlignment="1">
      <alignment vertical="center" wrapText="1"/>
    </xf>
    <xf numFmtId="0" fontId="4" fillId="112" borderId="111" xfId="0" applyFont="1" applyFill="1" applyBorder="1" applyAlignment="1">
      <alignment vertical="center" wrapText="1"/>
    </xf>
    <xf numFmtId="0" fontId="4" fillId="113" borderId="112" xfId="0" applyFont="1" applyFill="1" applyBorder="1" applyAlignment="1">
      <alignment vertical="center" wrapText="1"/>
    </xf>
    <xf numFmtId="0" fontId="4" fillId="43" borderId="42" xfId="0" applyFont="1" applyFill="1" applyBorder="1" applyAlignment="1">
      <alignment vertical="center" wrapText="1"/>
    </xf>
    <xf numFmtId="0" fontId="4" fillId="114" borderId="113" xfId="0" applyFont="1" applyFill="1" applyBorder="1" applyAlignment="1">
      <alignment vertical="center" wrapText="1"/>
    </xf>
    <xf numFmtId="0" fontId="4" fillId="118" borderId="117" xfId="0" applyFont="1" applyFill="1" applyBorder="1" applyAlignment="1">
      <alignment vertical="center" wrapText="1"/>
    </xf>
    <xf numFmtId="0" fontId="4" fillId="119" borderId="118" xfId="0" applyFont="1" applyFill="1" applyBorder="1" applyAlignment="1">
      <alignment vertical="center" wrapText="1"/>
    </xf>
    <xf numFmtId="0" fontId="4" fillId="21" borderId="20" xfId="0" applyFont="1" applyFill="1" applyBorder="1" applyAlignment="1">
      <alignment vertical="center" wrapText="1"/>
    </xf>
    <xf numFmtId="0" fontId="4" fillId="120" borderId="119" xfId="0" applyFont="1" applyFill="1" applyBorder="1" applyAlignment="1">
      <alignment vertical="center" wrapText="1"/>
    </xf>
    <xf numFmtId="0" fontId="4" fillId="121" borderId="120" xfId="0" applyFont="1" applyFill="1" applyBorder="1" applyAlignment="1">
      <alignment vertical="center" wrapText="1"/>
    </xf>
    <xf numFmtId="0" fontId="4" fillId="122" borderId="121" xfId="0" applyFont="1" applyFill="1" applyBorder="1" applyAlignment="1">
      <alignment vertical="center" wrapText="1"/>
    </xf>
    <xf numFmtId="0" fontId="1" fillId="92" borderId="91" xfId="0" applyFont="1" applyFill="1" applyBorder="1" applyAlignment="1">
      <alignment horizontal="center" vertical="center"/>
    </xf>
    <xf numFmtId="0" fontId="1" fillId="93" borderId="92" xfId="0" applyFont="1" applyFill="1" applyBorder="1" applyAlignment="1">
      <alignment horizontal="center" vertical="center"/>
    </xf>
    <xf numFmtId="0" fontId="1" fillId="37" borderId="36" xfId="0" applyFont="1" applyFill="1" applyBorder="1" applyAlignment="1">
      <alignment horizontal="center" vertical="center"/>
    </xf>
    <xf numFmtId="164" fontId="1" fillId="16" borderId="15" xfId="1" applyNumberFormat="1" applyFont="1" applyFill="1" applyBorder="1" applyAlignment="1">
      <alignment horizontal="left" vertical="center" wrapText="1"/>
    </xf>
    <xf numFmtId="164" fontId="1" fillId="14" borderId="13" xfId="1" applyNumberFormat="1" applyFont="1" applyFill="1" applyBorder="1" applyAlignment="1">
      <alignment horizontal="left" vertical="center" wrapText="1"/>
    </xf>
    <xf numFmtId="0" fontId="0" fillId="94" borderId="93" xfId="0" applyFill="1" applyBorder="1" applyAlignment="1" applyProtection="1">
      <alignment horizontal="left"/>
      <protection locked="0"/>
    </xf>
    <xf numFmtId="0" fontId="0" fillId="62" borderId="61" xfId="0" applyFill="1" applyBorder="1" applyAlignment="1" applyProtection="1">
      <alignment horizontal="left"/>
      <protection locked="0"/>
    </xf>
    <xf numFmtId="0" fontId="0" fillId="68" borderId="67" xfId="0" applyFill="1" applyBorder="1" applyAlignment="1" applyProtection="1">
      <alignment horizontal="left"/>
      <protection locked="0"/>
    </xf>
    <xf numFmtId="0" fontId="0" fillId="57" borderId="56" xfId="0" applyFill="1" applyBorder="1" applyAlignment="1" applyProtection="1">
      <alignment horizontal="left"/>
      <protection locked="0"/>
    </xf>
    <xf numFmtId="0" fontId="0" fillId="91" borderId="90" xfId="0" applyFill="1" applyBorder="1" applyAlignment="1" applyProtection="1">
      <alignment horizontal="left"/>
      <protection locked="0"/>
    </xf>
    <xf numFmtId="0" fontId="0" fillId="63" borderId="62" xfId="0" applyFill="1" applyBorder="1" applyAlignment="1" applyProtection="1">
      <alignment horizontal="left"/>
      <protection locked="0"/>
    </xf>
    <xf numFmtId="164" fontId="1" fillId="95" borderId="94" xfId="1" applyNumberFormat="1" applyFont="1" applyFill="1" applyBorder="1" applyAlignment="1">
      <alignment horizontal="right"/>
    </xf>
    <xf numFmtId="164" fontId="1" fillId="27" borderId="26" xfId="1" applyNumberFormat="1" applyFont="1" applyFill="1" applyBorder="1" applyAlignment="1">
      <alignment horizontal="right"/>
    </xf>
    <xf numFmtId="164" fontId="1" fillId="53" borderId="52" xfId="1" applyNumberFormat="1" applyFont="1" applyFill="1" applyBorder="1"/>
    <xf numFmtId="164" fontId="1" fillId="36" borderId="35" xfId="1" applyNumberFormat="1" applyFont="1" applyFill="1" applyBorder="1"/>
    <xf numFmtId="164" fontId="1" fillId="16" borderId="15" xfId="1" applyNumberFormat="1" applyFont="1" applyFill="1" applyBorder="1"/>
    <xf numFmtId="164" fontId="1" fillId="14" borderId="13" xfId="1" applyNumberFormat="1" applyFont="1" applyFill="1" applyBorder="1"/>
    <xf numFmtId="0" fontId="0" fillId="94" borderId="93" xfId="0" applyFill="1" applyBorder="1" applyAlignment="1" applyProtection="1">
      <alignment horizontal="left" wrapText="1"/>
      <protection locked="0"/>
    </xf>
    <xf numFmtId="0" fontId="0" fillId="62" borderId="61" xfId="0" applyFill="1" applyBorder="1" applyAlignment="1" applyProtection="1">
      <alignment horizontal="left" wrapText="1"/>
      <protection locked="0"/>
    </xf>
    <xf numFmtId="0" fontId="0" fillId="68" borderId="67" xfId="0" applyFill="1" applyBorder="1" applyAlignment="1" applyProtection="1">
      <alignment horizontal="left" wrapText="1"/>
      <protection locked="0"/>
    </xf>
    <xf numFmtId="0" fontId="0" fillId="57" borderId="56" xfId="0" applyFill="1" applyBorder="1" applyAlignment="1" applyProtection="1">
      <alignment horizontal="left" wrapText="1"/>
      <protection locked="0"/>
    </xf>
    <xf numFmtId="0" fontId="0" fillId="91" borderId="90" xfId="0" applyFill="1" applyBorder="1" applyAlignment="1" applyProtection="1">
      <alignment horizontal="left" wrapText="1"/>
      <protection locked="0"/>
    </xf>
    <xf numFmtId="0" fontId="0" fillId="63" borderId="62" xfId="0" applyFill="1" applyBorder="1" applyAlignment="1" applyProtection="1">
      <alignment horizontal="left" wrapText="1"/>
      <protection locked="0"/>
    </xf>
    <xf numFmtId="164" fontId="1" fillId="117" borderId="116" xfId="1" applyNumberFormat="1" applyFont="1" applyFill="1" applyBorder="1"/>
    <xf numFmtId="164" fontId="1" fillId="39" borderId="38" xfId="1" applyNumberFormat="1" applyFont="1" applyFill="1" applyBorder="1"/>
    <xf numFmtId="0" fontId="11" fillId="0" borderId="0" xfId="0" applyFont="1" applyAlignment="1">
      <alignment horizontal="left"/>
    </xf>
    <xf numFmtId="0" fontId="3" fillId="126" borderId="125" xfId="0" applyFont="1" applyFill="1" applyBorder="1" applyAlignment="1">
      <alignment horizontal="center"/>
    </xf>
    <xf numFmtId="0" fontId="3" fillId="127" borderId="126" xfId="0" applyFont="1" applyFill="1" applyBorder="1" applyAlignment="1">
      <alignment horizontal="center"/>
    </xf>
    <xf numFmtId="0" fontId="3" fillId="128" borderId="127" xfId="0" applyFont="1" applyFill="1" applyBorder="1" applyAlignment="1">
      <alignment horizontal="center"/>
    </xf>
    <xf numFmtId="0" fontId="0" fillId="129" borderId="128" xfId="0" applyFill="1" applyBorder="1" applyAlignment="1">
      <alignment horizontal="left"/>
    </xf>
    <xf numFmtId="0" fontId="0" fillId="130" borderId="129" xfId="0" applyFill="1" applyBorder="1" applyAlignment="1">
      <alignment horizontal="left"/>
    </xf>
    <xf numFmtId="0" fontId="0" fillId="131" borderId="130" xfId="0" applyFill="1" applyBorder="1" applyAlignment="1">
      <alignment horizontal="left"/>
    </xf>
    <xf numFmtId="0" fontId="0" fillId="123" borderId="122" xfId="0" applyFill="1" applyBorder="1" applyAlignment="1">
      <alignment horizontal="left"/>
    </xf>
    <xf numFmtId="0" fontId="0" fillId="124" borderId="123" xfId="0" applyFill="1" applyBorder="1" applyAlignment="1">
      <alignment horizontal="left"/>
    </xf>
    <xf numFmtId="0" fontId="0" fillId="125" borderId="124" xfId="0" applyFill="1" applyBorder="1" applyAlignment="1">
      <alignment horizontal="left"/>
    </xf>
    <xf numFmtId="0" fontId="0" fillId="135" borderId="134" xfId="0" applyFill="1" applyBorder="1" applyAlignment="1">
      <alignment horizontal="left"/>
    </xf>
    <xf numFmtId="0" fontId="0" fillId="136" borderId="135" xfId="0" applyFill="1" applyBorder="1" applyAlignment="1">
      <alignment horizontal="left"/>
    </xf>
    <xf numFmtId="0" fontId="0" fillId="137" borderId="136" xfId="0" applyFill="1" applyBorder="1" applyAlignment="1">
      <alignment horizontal="left"/>
    </xf>
    <xf numFmtId="0" fontId="0" fillId="138" borderId="137" xfId="0" applyFill="1" applyBorder="1" applyAlignment="1">
      <alignment horizontal="left"/>
    </xf>
    <xf numFmtId="0" fontId="0" fillId="139" borderId="138" xfId="0" applyFill="1" applyBorder="1" applyAlignment="1">
      <alignment horizontal="left"/>
    </xf>
    <xf numFmtId="0" fontId="0" fillId="140" borderId="139" xfId="0" applyFill="1" applyBorder="1" applyAlignment="1">
      <alignment horizontal="left"/>
    </xf>
    <xf numFmtId="0" fontId="0" fillId="132" borderId="131" xfId="0" applyFill="1" applyBorder="1" applyAlignment="1">
      <alignment horizontal="left"/>
    </xf>
    <xf numFmtId="0" fontId="0" fillId="133" borderId="132" xfId="0" applyFill="1" applyBorder="1" applyAlignment="1">
      <alignment horizontal="left"/>
    </xf>
    <xf numFmtId="0" fontId="0" fillId="134" borderId="133" xfId="0" applyFill="1" applyBorder="1" applyAlignment="1">
      <alignment horizontal="left"/>
    </xf>
    <xf numFmtId="0" fontId="0" fillId="141" borderId="140" xfId="0" applyFill="1" applyBorder="1" applyAlignment="1">
      <alignment horizontal="left"/>
    </xf>
    <xf numFmtId="0" fontId="0" fillId="142" borderId="141" xfId="0" applyFill="1" applyBorder="1" applyAlignment="1">
      <alignment horizontal="left"/>
    </xf>
    <xf numFmtId="0" fontId="0" fillId="143" borderId="142" xfId="0" applyFill="1" applyBorder="1" applyAlignment="1">
      <alignment horizontal="left"/>
    </xf>
    <xf numFmtId="169" fontId="0" fillId="144" borderId="143" xfId="0" applyNumberFormat="1" applyFill="1" applyBorder="1" applyAlignment="1">
      <alignment horizontal="center" vertical="center"/>
    </xf>
    <xf numFmtId="169" fontId="0" fillId="145" borderId="144" xfId="0" applyNumberFormat="1" applyFill="1" applyBorder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2">
    <dxf>
      <font>
        <b/>
        <i val="0"/>
        <color rgb="FF375623"/>
      </font>
    </dxf>
    <dxf>
      <font>
        <b/>
        <i val="0"/>
        <color rgb="FFFF0000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592217974" count="1">
        <pm:charStyle name="Normal" fontId="0" Id="1"/>
      </pm:charStyles>
      <pm:colors xmlns:pm="smNativeData" id="1592217974" count="18">
        <pm:color name="Color 24" rgb="1F4E78"/>
        <pm:color name="Color 25" rgb="203764"/>
        <pm:color name="Color 26" rgb="375623"/>
        <pm:color name="Color 27" rgb="833C0C"/>
        <pm:color name="Color 28" rgb="FFFFCC"/>
        <pm:color name="Color 29" rgb="BFBFBF"/>
        <pm:color name="Color 30" rgb="F8CAAB"/>
        <pm:color name="Color 31" rgb="BDD7EE"/>
        <pm:color name="Color 32" rgb="C5DFB3"/>
        <pm:color name="Color 33" rgb="DDEBF7"/>
        <pm:color name="Color 34" rgb="ACB9CA"/>
        <pm:color name="Color 35" rgb="F2F2F2"/>
        <pm:color name="Color 36" rgb="333F4F"/>
        <pm:color name="Color 37" rgb="FFF2CA"/>
        <pm:color name="Color 38" rgb="D6DCE4"/>
        <pm:color name="Color 39" rgb="D9E1F2"/>
        <pm:color name="Color 40" rgb="70AD47"/>
        <pm:color name="Color 41" rgb="5B9BD5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27</xdr:row>
      <xdr:rowOff>133350</xdr:rowOff>
    </xdr:from>
    <xdr:to>
      <xdr:col>6</xdr:col>
      <xdr:colOff>742950</xdr:colOff>
      <xdr:row>27</xdr:row>
      <xdr:rowOff>133985</xdr:rowOff>
    </xdr:to>
    <xdr:cxnSp macro="">
      <xdr:nvCxnSpPr>
        <xdr:cNvPr id="3" name="Conector recto de flecha 1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AAAAMAAAAEAAAAAAAAAAAAAAAAAAAAAAAAAAeAAAAaAAAAAAAAAAAAAAAAAAAAAAAAAAAAAAAECcAABAnAAAAAAAAAAAAAAAAAAAAAAAAAAAAAAAAAAAAAAAAAAAAABQAAAAAAAAAwMD/AAAAAABkAAAAMgAAAAAAAABkAAAAAAAAAH9/fwAKAAAAIQAAADAAAAAsAAAAGwAAAAYAAAAqAuQAGwAAAAYAAAAtAqgDbTUAAJwmAAB1AwAAAQAAAAAAAAA="/>
            </a:ext>
          </a:extLst>
        </xdr:cNvCxnSpPr>
      </xdr:nvCxnSpPr>
      <xdr:spPr>
        <a:xfrm flipH="1" flipV="1">
          <a:off x="8684895" y="6276340"/>
          <a:ext cx="5619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419100</xdr:colOff>
      <xdr:row>71</xdr:row>
      <xdr:rowOff>47625</xdr:rowOff>
    </xdr:from>
    <xdr:to>
      <xdr:col>5</xdr:col>
      <xdr:colOff>420370</xdr:colOff>
      <xdr:row>73</xdr:row>
      <xdr:rowOff>165735</xdr:rowOff>
    </xdr:to>
    <xdr:cxnSp macro="">
      <xdr:nvCxnSpPr>
        <xdr:cNvPr id="2" name="Conector recto de flecha 2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IAAAAMAAAAEAAAAAAAAAAAAAAAAAAAAAAAAAAeAAAAaAAAAAAAAAAAAAAAAAAAAAAAAAAAAAAAECcAABAnAAAAAAAAAAAAAAAAAAAAAAAAAAAAAAAAAAAAAAAAAAAAABQAAAAAAAAAwMD/AAAAAABkAAAAMgAAAAAAAABkAAAAAAAAAH9/fwAKAAAAIQAAADAAAAAsAAAARwAAAAUAAADxAAMCSQAAAAUAAABOAwUCxDEAABNmAAACAAAAMAMAAAAAAAA="/>
            </a:ext>
          </a:extLst>
        </xdr:cNvCxnSpPr>
      </xdr:nvCxnSpPr>
      <xdr:spPr>
        <a:xfrm flipV="1">
          <a:off x="8089900" y="16593185"/>
          <a:ext cx="1270" cy="51816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24</xdr:row>
      <xdr:rowOff>104775</xdr:rowOff>
    </xdr:from>
    <xdr:to>
      <xdr:col>14</xdr:col>
      <xdr:colOff>742950</xdr:colOff>
      <xdr:row>26</xdr:row>
      <xdr:rowOff>187325</xdr:rowOff>
    </xdr:to>
    <xdr:sp macro="" textlink="" fLocksText="0">
      <xdr:nvSpPr>
        <xdr:cNvPr id="59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MAbwAMAAAAEAAAAAAAAAAAAAAAAAAAAAAAAAAeAAAAaAAAAAAAAAAAAAAAAAAAAAAAAAAAAAAAECcAABAnAAAAAAAAAAAAAAAAAAAAAAAAAAAAAAAAAAAAAAAAAAAAABQAAAAAAAAAwMD/AAAAAABkAAAAMgAAAAAAAABkAAAAAAAAAH9/fwAKAAAAIQAAADAAAAAsAAAAGAAAAAsAAAAlArQAGgAAAA4AAADVA6gD4TcAAM8dAACxEgAA6gIAAAAAAAA="/>
            </a:ext>
          </a:extLst>
        </xdr:cNvSpPr>
      </xdr:nvSpPr>
      <xdr:spPr>
        <a:xfrm>
          <a:off x="9083675" y="4845685"/>
          <a:ext cx="3038475" cy="47371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 6 = 2*12*0,25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(2 años al 25% de dedicación)</a:t>
          </a:r>
        </a:p>
      </xdr:txBody>
    </xdr:sp>
    <xdr:clientData/>
  </xdr:twoCellAnchor>
  <xdr:twoCellAnchor>
    <xdr:from>
      <xdr:col>5</xdr:col>
      <xdr:colOff>95250</xdr:colOff>
      <xdr:row>24</xdr:row>
      <xdr:rowOff>171450</xdr:rowOff>
    </xdr:from>
    <xdr:to>
      <xdr:col>6</xdr:col>
      <xdr:colOff>476250</xdr:colOff>
      <xdr:row>27</xdr:row>
      <xdr:rowOff>142875</xdr:rowOff>
    </xdr:to>
    <xdr:sp macro="" textlink="" fLocksText="0">
      <xdr:nvSpPr>
        <xdr:cNvPr id="58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AVAAAMAAAAEAAAAAAAAAAAAAAAAAAAAAAAAAAeAAAAaAAAAAAAAAAAAAAAAAAAAAAAAAAAAAAAECcAABAnAAAAAAAAAAAAAAAAAAAAAAAAAAAAAAAAAAAAAAAAAAAAABQAAAAAAAAAwMD/AAAAAABkAAAAMgAAAAAAAABkAAAAAAAAAH9/fwAKAAAAIQAAADAAAAAsAAAAGAAAAAUAAACCA3gAGwAAAAYAAADsAlgClhkAADgeAABYBwAAbwMAAAAAAAA="/>
            </a:ext>
          </a:extLst>
        </xdr:cNvSpPr>
      </xdr:nvSpPr>
      <xdr:spPr>
        <a:xfrm>
          <a:off x="4159250" y="4912360"/>
          <a:ext cx="1193800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8</xdr:col>
      <xdr:colOff>409575</xdr:colOff>
      <xdr:row>24</xdr:row>
      <xdr:rowOff>180975</xdr:rowOff>
    </xdr:from>
    <xdr:to>
      <xdr:col>10</xdr:col>
      <xdr:colOff>381000</xdr:colOff>
      <xdr:row>28</xdr:row>
      <xdr:rowOff>28575</xdr:rowOff>
    </xdr:to>
    <xdr:sp macro="" textlink="" fLocksText="0">
      <xdr:nvSpPr>
        <xdr:cNvPr id="57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B/9cMAAAAEAAAAAAAAAAAAAAAAAAAAAAAAAAeAAAAaAAAAAAAAAAAAAAAAAAAAAAAAAAAAAAAECcAABAnAAAAAAAAAAAAAAAAAAAAAAAAAAAAAAAAAAAAAAAAAAAAABQAAAAAAAAAwMD/AAAAAABkAAAAMgAAAAAAAABkAAAAAAAAAH9/fwAKAAAAIQAAADAAAAAsAAAAGAAAAAgAAAC0AwQCHAAAAAoAAAB5AOABhSoAAEceAADTCQAA4AMAAAAAAAA="/>
            </a:ext>
          </a:extLst>
        </xdr:cNvSpPr>
      </xdr:nvSpPr>
      <xdr:spPr>
        <a:xfrm>
          <a:off x="6911975" y="4921885"/>
          <a:ext cx="1597025" cy="6299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9</xdr:col>
      <xdr:colOff>65405</xdr:colOff>
      <xdr:row>22</xdr:row>
      <xdr:rowOff>82550</xdr:rowOff>
    </xdr:from>
    <xdr:to>
      <xdr:col>9</xdr:col>
      <xdr:colOff>66675</xdr:colOff>
      <xdr:row>25</xdr:row>
      <xdr:rowOff>10795</xdr:rowOff>
    </xdr:to>
    <xdr:cxnSp macro="">
      <xdr:nvCxnSpPr>
        <xdr:cNvPr id="56" name="Conector recto de flecha 15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FgAAAAkAAACwAVIAGQAAAAkAAAA5AFQAZy0AAEQbAAACAAAAKwMAAAAAAAA="/>
            </a:ext>
          </a:extLst>
        </xdr:cNvCxnSpPr>
      </xdr:nvCxnSpPr>
      <xdr:spPr>
        <a:xfrm flipV="1">
          <a:off x="7380605" y="4432300"/>
          <a:ext cx="1270" cy="51498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132080</xdr:colOff>
      <xdr:row>22</xdr:row>
      <xdr:rowOff>73025</xdr:rowOff>
    </xdr:from>
    <xdr:to>
      <xdr:col>3</xdr:col>
      <xdr:colOff>133350</xdr:colOff>
      <xdr:row>25</xdr:row>
      <xdr:rowOff>1270</xdr:rowOff>
    </xdr:to>
    <xdr:cxnSp macro="">
      <xdr:nvCxnSpPr>
        <xdr:cNvPr id="55" name="Conector recto de flecha 16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o4QMMAAAAEAAAAAAAAAAAAAAAAAAAAAAAAAAeAAAAaAAAAAAAAAAAAAAAAAAAAAAAAAAAAAAAECcAABAnAAAAAAAAAAAAAAAAAAAAAAAAAAAAAAAAAAAAAAAAAAAAABQAAAAAAAAAwMD/AAAAAABkAAAAMgAAAAAAAABkAAAAAAAAAH9/fwAKAAAAIQAAADAAAAAsAAAAFgAAAAMAAAB+AaYAGQAAAAMAAAAHAKgA0A8AADUbAAACAAAAKwMAAAAAAAA="/>
            </a:ext>
          </a:extLst>
        </xdr:cNvCxnSpPr>
      </xdr:nvCxnSpPr>
      <xdr:spPr>
        <a:xfrm flipV="1">
          <a:off x="2570480" y="4422775"/>
          <a:ext cx="1270" cy="51498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685800</xdr:colOff>
      <xdr:row>22</xdr:row>
      <xdr:rowOff>85725</xdr:rowOff>
    </xdr:from>
    <xdr:to>
      <xdr:col>5</xdr:col>
      <xdr:colOff>687705</xdr:colOff>
      <xdr:row>25</xdr:row>
      <xdr:rowOff>13335</xdr:rowOff>
    </xdr:to>
    <xdr:cxnSp macro="">
      <xdr:nvCxnSpPr>
        <xdr:cNvPr id="54" name="Conector recto de flecha 17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FgAAAAUAAADBAWADGQAAAAUAAABGAGIDOB0AAEkbAAADAAAAKgMAAAAAAAA="/>
            </a:ext>
          </a:extLst>
        </xdr:cNvCxnSpPr>
      </xdr:nvCxnSpPr>
      <xdr:spPr>
        <a:xfrm flipV="1">
          <a:off x="4749800" y="443547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314325</xdr:colOff>
      <xdr:row>24</xdr:row>
      <xdr:rowOff>152400</xdr:rowOff>
    </xdr:from>
    <xdr:to>
      <xdr:col>3</xdr:col>
      <xdr:colOff>609600</xdr:colOff>
      <xdr:row>27</xdr:row>
      <xdr:rowOff>123825</xdr:rowOff>
    </xdr:to>
    <xdr:sp macro="" textlink="" fLocksText="0">
      <xdr:nvSpPr>
        <xdr:cNvPr id="53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3AmoMAAAAEAAAAAAAAAAAAAAAAAAAAAAAAAAeAAAAaAAAAAAAAAAAAAAAAAAAAAAAAAAAAAAAECcAABAnAAAAAAAAAAAAAAAAAAAAAAAAAAAAAAAAAAAAAAAAAAAAABQAAAAAAAAAwMD/AAAAAABkAAAAMgAAAAAAAABkAAAAAAAAAH9/fwAKAAAAIQAAADAAAAAsAAAAGAAAAAIAAAAeA4wBGwAAAAMAAACIAgAD7wsAABoeAADRBgAAbwMAAAAAAAA="/>
            </a:ext>
          </a:extLst>
        </xdr:cNvSpPr>
      </xdr:nvSpPr>
      <xdr:spPr>
        <a:xfrm>
          <a:off x="1939925" y="4893310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5</xdr:col>
      <xdr:colOff>0</xdr:colOff>
      <xdr:row>47</xdr:row>
      <xdr:rowOff>22225</xdr:rowOff>
    </xdr:from>
    <xdr:to>
      <xdr:col>6</xdr:col>
      <xdr:colOff>381000</xdr:colOff>
      <xdr:row>49</xdr:row>
      <xdr:rowOff>184150</xdr:rowOff>
    </xdr:to>
    <xdr:sp macro="" textlink="" fLocksText="0">
      <xdr:nvSpPr>
        <xdr:cNvPr id="52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L/AA8MAAAAEAAAAAAAAAAAAAAAAAAAAAAAAAAeAAAAaAAAAAAAAAAAAAAAAAAAAAAAAAAAAAAAECcAABAnAAAAAAAAAAAAAAAAAAAAAAAAAAAAAAAAAAAAAAAAAAAAABQAAAAAAAAAwMD/AAAAAABkAAAAMgAAAAAAAABkAAAAAAAAAH9/fwAKAAAAIQAAADAAAAAsAAAALwAAAAUAAAB0AAAAMQAAAAYAAADEA+ABABkAAEM5AABYBwAAZwMAAAAAAAA="/>
            </a:ext>
          </a:extLst>
        </xdr:cNvSpPr>
      </xdr:nvSpPr>
      <xdr:spPr>
        <a:xfrm>
          <a:off x="4064000" y="9308465"/>
          <a:ext cx="1193800" cy="5530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9</xdr:col>
      <xdr:colOff>47625</xdr:colOff>
      <xdr:row>46</xdr:row>
      <xdr:rowOff>174625</xdr:rowOff>
    </xdr:from>
    <xdr:to>
      <xdr:col>11</xdr:col>
      <xdr:colOff>19050</xdr:colOff>
      <xdr:row>50</xdr:row>
      <xdr:rowOff>41275</xdr:rowOff>
    </xdr:to>
    <xdr:sp macro="" textlink="" fLocksText="0">
      <xdr:nvSpPr>
        <xdr:cNvPr id="51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y/+wMAAAAEAAAAAAAAAAAAAAAAAAAAAAAAAAeAAAAaAAAAAAAAAAAAAAAAAAAAAAAAAAAAAAAECcAABAnAAAAAAAAAAAAAAAAAAAAAAAAAAAAAAAAAAAAAAAAAAAAABQAAAAAAAAAwMD/AAAAAABkAAAAMgAAAAAAAABkAAAAAAAAAH9/fwAKAAAAIQAAADAAAAAsAAAALgAAAAkAAACSAzwAMgAAAAsAAADYABgASy0AAP84AADTCQAA/gMAAAAAAAA="/>
            </a:ext>
          </a:extLst>
        </xdr:cNvSpPr>
      </xdr:nvSpPr>
      <xdr:spPr>
        <a:xfrm>
          <a:off x="7362825" y="9265285"/>
          <a:ext cx="1597025" cy="64897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8</xdr:col>
      <xdr:colOff>8255</xdr:colOff>
      <xdr:row>44</xdr:row>
      <xdr:rowOff>66675</xdr:rowOff>
    </xdr:from>
    <xdr:to>
      <xdr:col>8</xdr:col>
      <xdr:colOff>9525</xdr:colOff>
      <xdr:row>46</xdr:row>
      <xdr:rowOff>184785</xdr:rowOff>
    </xdr:to>
    <xdr:cxnSp macro="">
      <xdr:nvCxnSpPr>
        <xdr:cNvPr id="50" name="Conector recto de flecha 22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LAAAAAgAAABdAQoALgAAAAgAAADHAwwADSgAAO01AAACAAAAIgMAAAAAAAA="/>
            </a:ext>
          </a:extLst>
        </xdr:cNvCxnSpPr>
      </xdr:nvCxnSpPr>
      <xdr:spPr>
        <a:xfrm flipV="1">
          <a:off x="6510655" y="8766175"/>
          <a:ext cx="1270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36830</xdr:colOff>
      <xdr:row>44</xdr:row>
      <xdr:rowOff>114300</xdr:rowOff>
    </xdr:from>
    <xdr:to>
      <xdr:col>3</xdr:col>
      <xdr:colOff>38100</xdr:colOff>
      <xdr:row>47</xdr:row>
      <xdr:rowOff>41910</xdr:rowOff>
    </xdr:to>
    <xdr:cxnSp macro="">
      <xdr:nvCxnSpPr>
        <xdr:cNvPr id="49" name="Conector recto de flecha 23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LAAAAAMAAABWAi4ALwAAAAMAAADbADAAOg8AADg2AAACAAAAKgMAAAAAAAA="/>
            </a:ext>
          </a:extLst>
        </xdr:cNvCxnSpPr>
      </xdr:nvCxnSpPr>
      <xdr:spPr>
        <a:xfrm flipV="1">
          <a:off x="2475230" y="8813800"/>
          <a:ext cx="1270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590550</xdr:colOff>
      <xdr:row>44</xdr:row>
      <xdr:rowOff>127000</xdr:rowOff>
    </xdr:from>
    <xdr:to>
      <xdr:col>5</xdr:col>
      <xdr:colOff>592455</xdr:colOff>
      <xdr:row>47</xdr:row>
      <xdr:rowOff>54610</xdr:rowOff>
    </xdr:to>
    <xdr:cxnSp macro="">
      <xdr:nvCxnSpPr>
        <xdr:cNvPr id="48" name="Conector recto de flecha 24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XAwQMAAAAEAAAAAAAAAAAAAAAAAAAAAAAAAAeAAAAaAAAAAAAAAAAAAAAAAAAAAAAAAAAAAAAECcAABAnAAAAAAAAAAAAAAAAAAAAAAAAAAAAAAAAAAAAAAAAAAAAABQAAAAAAAAAwMD/AAAAAABkAAAAMgAAAAAAAABkAAAAAAAAAH9/fwAKAAAAIQAAADAAAAAsAAAALAAAAAUAAACZAugCLwAAAAUAAAAeAeoCohwAAEw2AAADAAAAKgMAAAAAAAA="/>
            </a:ext>
          </a:extLst>
        </xdr:cNvCxnSpPr>
      </xdr:nvCxnSpPr>
      <xdr:spPr>
        <a:xfrm flipV="1">
          <a:off x="4654550" y="8826500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219075</xdr:colOff>
      <xdr:row>47</xdr:row>
      <xdr:rowOff>3175</xdr:rowOff>
    </xdr:from>
    <xdr:to>
      <xdr:col>3</xdr:col>
      <xdr:colOff>514350</xdr:colOff>
      <xdr:row>49</xdr:row>
      <xdr:rowOff>165100</xdr:rowOff>
    </xdr:to>
    <xdr:sp macro="" textlink="" fLocksText="0">
      <xdr:nvSpPr>
        <xdr:cNvPr id="47" name="CuadroTexto 25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LAsIMAAAAEAAAAAAAAAAAAAAAAAAAAAAAAAAeAAAAaAAAAAAAAAAAAAAAAAAAAAAAAAAAAAAAECcAABAnAAAAAAAAAAAAAAAAAAAAAAAAAAAAAAAAAAAAAAAAAAAAABQAAAAAAAAAwMD/AAAAAABkAAAAMgAAAAAAAABkAAAAAAAAAH9/fwAKAAAAIQAAADAAAAAsAAAALwAAAAIAAAARABQBMQAAAAMAAABgA4gCWQsAACU5AADRBgAAZwMAAAAAAAA="/>
            </a:ext>
          </a:extLst>
        </xdr:cNvSpPr>
      </xdr:nvSpPr>
      <xdr:spPr>
        <a:xfrm>
          <a:off x="1844675" y="9289415"/>
          <a:ext cx="1108075" cy="5530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9</xdr:col>
      <xdr:colOff>257175</xdr:colOff>
      <xdr:row>44</xdr:row>
      <xdr:rowOff>57150</xdr:rowOff>
    </xdr:from>
    <xdr:to>
      <xdr:col>9</xdr:col>
      <xdr:colOff>266700</xdr:colOff>
      <xdr:row>47</xdr:row>
      <xdr:rowOff>28575</xdr:rowOff>
    </xdr:to>
    <xdr:cxnSp macro="">
      <xdr:nvCxnSpPr>
        <xdr:cNvPr id="46" name="Conector recto de flecha 26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DAxEMAAAAEAAAAAAAAAAAAAAAAAAAAAAAAAAeAAAAaAAAAAAAAAAAAAAAAAAAAAAAAAAAAAAAECcAABAnAAAAAAAAAAAAAAAAAAAAAAAAAAAAAAAAAAAAAAAAAAAAABQAAAAAAAAAwMD/AAAAAABkAAAAMgAAAAAAAABkAAAAAAAAAH9/fwAKAAAAIQAAADAAAAAsAAAALAAAAAkAAAArAUQBLwAAAAkAAACWAFABlS4AAN41AAAPAAAAbwMAAAAAAAA="/>
            </a:ext>
          </a:extLst>
        </xdr:cNvCxnSpPr>
      </xdr:nvCxnSpPr>
      <xdr:spPr>
        <a:xfrm flipV="1">
          <a:off x="7572375" y="8756650"/>
          <a:ext cx="9525" cy="55816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428625</xdr:colOff>
      <xdr:row>46</xdr:row>
      <xdr:rowOff>142875</xdr:rowOff>
    </xdr:from>
    <xdr:to>
      <xdr:col>8</xdr:col>
      <xdr:colOff>704850</xdr:colOff>
      <xdr:row>49</xdr:row>
      <xdr:rowOff>142875</xdr:rowOff>
    </xdr:to>
    <xdr:sp macro="" textlink="" fLocksText="0">
      <xdr:nvSpPr>
        <xdr:cNvPr id="45" name="CuadroTexto 2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UAxgMAAAAEAAAAAAAAAAAAAAAAAAAAAAAAAAeAAAAaAAAAAAAAAAAAAAAAAAAAAAAAAAAAAAAECcAABAnAAAAAAAAAAAAAAAAAAAAAAAAAAAAAAAAAAAAAAAAAAAAABQAAAAAAAAAwMD/AAAAAABkAAAAMgAAAAAAAABkAAAAAAAAAH9/fwAKAAAAIQAAADAAAAAsAAAALgAAAAcAAADsAhwCMQAAAAgAAADsAngDoyUAAM04AACzBgAAnAMAAAAAAAA="/>
            </a:ext>
          </a:extLst>
        </xdr:cNvSpPr>
      </xdr:nvSpPr>
      <xdr:spPr>
        <a:xfrm>
          <a:off x="6118225" y="9233535"/>
          <a:ext cx="1089025" cy="5867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Coste/mes.</a:t>
          </a:r>
        </a:p>
      </xdr:txBody>
    </xdr:sp>
    <xdr:clientData/>
  </xdr:twoCellAnchor>
  <xdr:twoCellAnchor>
    <xdr:from>
      <xdr:col>11</xdr:col>
      <xdr:colOff>690880</xdr:colOff>
      <xdr:row>45</xdr:row>
      <xdr:rowOff>170180</xdr:rowOff>
    </xdr:from>
    <xdr:to>
      <xdr:col>16</xdr:col>
      <xdr:colOff>345440</xdr:colOff>
      <xdr:row>51</xdr:row>
      <xdr:rowOff>0</xdr:rowOff>
    </xdr:to>
    <xdr:sp macro="" textlink="" fLocksText="0">
      <xdr:nvSpPr>
        <xdr:cNvPr id="44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+uAx0MAAAAEAAAAAAAAAAAAAAAAAAAAAAAAAAeAAAAaAAAAAAAAAAAAAAAAAAAAAAAAAAAAAAAECcAABAnAAAAAAAAAAAAAAAAAAAAAAAAAAAAAAAAAAAAAAAAAAAAABQAAAAAAAAAwMD/AAAAAABkAAAAMgAAAAAAAABkAAAAAAAAAH9/fwAKAAAAIQAAADAAAAAsAAAALQAAAAsAAAB7A2YDMwAAABAAAAAAALMBQDsAAMQ3AADgFgAALAYAAAAAAAA="/>
            </a:ext>
          </a:extLst>
        </xdr:cNvSpPr>
      </xdr:nvSpPr>
      <xdr:spPr>
        <a:xfrm>
          <a:off x="9631680" y="9065260"/>
          <a:ext cx="3718560" cy="10033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Jornada completa (37,5 horas/semana) =&gt; 1 PM cada mes de contrato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Contrato desde mes 7 al 30 = 24 PMs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>
    <xdr:from>
      <xdr:col>10</xdr:col>
      <xdr:colOff>684530</xdr:colOff>
      <xdr:row>48</xdr:row>
      <xdr:rowOff>0</xdr:rowOff>
    </xdr:from>
    <xdr:to>
      <xdr:col>11</xdr:col>
      <xdr:colOff>600075</xdr:colOff>
      <xdr:row>48</xdr:row>
      <xdr:rowOff>13335</xdr:rowOff>
    </xdr:to>
    <xdr:cxnSp macro="">
      <xdr:nvCxnSpPr>
        <xdr:cNvPr id="43" name="Conector recto de flecha 34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jAJcMAAAAEAAAAAAAAAAAAAAAAAAAAAAAAAAeAAAAaAAAAAAAAAAAAAAAAAAAAAAAAAAAAAAAECcAABAnAAAAAAAAAAAAAAAAAAAAAAAAAAAAAAAAAAAAAAAAAAAAABQAAAAAAAAAwMD/AAAAAABkAAAAMgAAAAAAAABkAAAAAAAAAH9/fwAKAAAAIQAAADAAAAAsAAAAMAAAAAoAAAAAAF4DMAAAAAsAAABGAPQCNjYAAFQ6AAB7BAAAFQAAAAAAAAA="/>
            </a:ext>
          </a:extLst>
        </xdr:cNvCxnSpPr>
      </xdr:nvCxnSpPr>
      <xdr:spPr>
        <a:xfrm flipV="1">
          <a:off x="8812530" y="9481820"/>
          <a:ext cx="728345" cy="133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0</xdr:colOff>
      <xdr:row>53</xdr:row>
      <xdr:rowOff>0</xdr:rowOff>
    </xdr:from>
    <xdr:to>
      <xdr:col>6</xdr:col>
      <xdr:colOff>132715</xdr:colOff>
      <xdr:row>59</xdr:row>
      <xdr:rowOff>104775</xdr:rowOff>
    </xdr:to>
    <xdr:pic>
      <xdr:nvPicPr>
        <xdr:cNvPr id="42" name="Imagen 55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AuzIGDAAAABAAAAAAAAAAAAAAAAAAAAAAAAAAHgAAAGgAAAAAAAAAAAAAAAAAAAAAAAAAAAAAABAnAAAQJwAAAAAAAAAAAAAAAAAAAAAAAAAAAAAAAAAAAAAAAAAAAAAUAAAAAAAAAMDA/wAAAAAAZAAAADIAAAAAAAAAZAAAAAAAAAB/f38ACgAAACEAAAAwAAAALAAAADUAAAABAAAAAAAAADsAAAAGAAAAJQKnAAAFAACiQAAA0RkAAN0H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10506710"/>
          <a:ext cx="4196715" cy="12782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161925</xdr:colOff>
      <xdr:row>56</xdr:row>
      <xdr:rowOff>142875</xdr:rowOff>
    </xdr:from>
    <xdr:to>
      <xdr:col>7</xdr:col>
      <xdr:colOff>681355</xdr:colOff>
      <xdr:row>56</xdr:row>
      <xdr:rowOff>153670</xdr:rowOff>
    </xdr:to>
    <xdr:cxnSp macro="">
      <xdr:nvCxnSpPr>
        <xdr:cNvPr id="41" name="Conector recto de flecha 56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HYmw8MAAAAEAAAAAAAAAAAAAAAAAAAAAAAAAAeAAAAaAAAAAAAAAAAAAAAAAAAAAAAAAAAAAAAECcAABAnAAAAAAAAAAAAAAAAAAAAAAAAAAAAAAAAAAAAAAAAAAAAABQAAAAAAAAAwMD/AAAAAABkAAAAMgAAAAAAAABkAAAAAAAAAH9/fwAKAAAAIQAAADAAAAAsAAAAOAAAAAYAAADsAswAOAAAAAcAAAAlA1oD/x4AAB9FAAAyCAAAEQAAAAAAAAA="/>
            </a:ext>
          </a:extLst>
        </xdr:cNvCxnSpPr>
      </xdr:nvCxnSpPr>
      <xdr:spPr>
        <a:xfrm>
          <a:off x="5038725" y="11236325"/>
          <a:ext cx="1332230" cy="1079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54</xdr:row>
      <xdr:rowOff>9525</xdr:rowOff>
    </xdr:from>
    <xdr:to>
      <xdr:col>14</xdr:col>
      <xdr:colOff>186055</xdr:colOff>
      <xdr:row>59</xdr:row>
      <xdr:rowOff>67945</xdr:rowOff>
    </xdr:to>
    <xdr:sp macro="" textlink="" fLocksText="0">
      <xdr:nvSpPr>
        <xdr:cNvPr id="40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aR/9sMAAAAEAAAAAAAAAAAAAAAAAAAAAAAAAAeAAAAaAAAAAAAAAAAAAAAAAAAAAAAAAAAAAAAECcAABAnAAAAAAAAAAAAAAAAAAAAAAAAAAAAAAAAAAAAAAAAAAAAABQAAAAAAAAAwMD/AAAAAABkAAAAMgAAAAAAAABkAAAAAAAAAH9/fwAKAAAAIQAAADAAAAAsAAAANgAAAAgAAAAyAAAAOwAAAA4AAABkAeoAACgAAOVBAAAlHwAAYAYAAAAAAAA="/>
            </a:ext>
          </a:extLst>
        </xdr:cNvSpPr>
      </xdr:nvSpPr>
      <xdr:spPr>
        <a:xfrm>
          <a:off x="6502400" y="10711815"/>
          <a:ext cx="5062855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Gastos para diseminación de resultados del proyecto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Celebración de Workshops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etc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>
    <xdr:from>
      <xdr:col>4</xdr:col>
      <xdr:colOff>725805</xdr:colOff>
      <xdr:row>77</xdr:row>
      <xdr:rowOff>95250</xdr:rowOff>
    </xdr:from>
    <xdr:to>
      <xdr:col>6</xdr:col>
      <xdr:colOff>276225</xdr:colOff>
      <xdr:row>80</xdr:row>
      <xdr:rowOff>86995</xdr:rowOff>
    </xdr:to>
    <xdr:sp macro="" textlink="" fLocksText="0">
      <xdr:nvSpPr>
        <xdr:cNvPr id="39" name="CuadroTexto 17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jaZ7IMAAAAEAAAAAAAAAAAAAAAAAAAAAAAAAAeAAAAaAAAAAAAAAAAAAAAAAAAAAAAAAAAAAAAECcAABAnAAAAAAAAAAAAAAAAAAAAAAAAAAAAAAAAAAAAAAAAAAAAABQAAAAAAAAAwMD/AAAAAABkAAAAMgAAAAAAAABkAAAAAAAAAH9/fwAKAAAAIQAAADAAAAAsAAAATQAAAAQAAADzAZIDUAAAAAYAAADHAVwBdxgAAGJeAAA8BwAAjwMAAAAAAAA="/>
            </a:ext>
          </a:extLst>
        </xdr:cNvSpPr>
      </xdr:nvSpPr>
      <xdr:spPr>
        <a:xfrm>
          <a:off x="3977005" y="15342870"/>
          <a:ext cx="1176020" cy="5784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 tipo equipo</a:t>
          </a:r>
        </a:p>
      </xdr:txBody>
    </xdr:sp>
    <xdr:clientData/>
  </xdr:twoCellAnchor>
  <xdr:twoCellAnchor>
    <xdr:from>
      <xdr:col>7</xdr:col>
      <xdr:colOff>14605</xdr:colOff>
      <xdr:row>77</xdr:row>
      <xdr:rowOff>52705</xdr:rowOff>
    </xdr:from>
    <xdr:to>
      <xdr:col>8</xdr:col>
      <xdr:colOff>19050</xdr:colOff>
      <xdr:row>80</xdr:row>
      <xdr:rowOff>19050</xdr:rowOff>
    </xdr:to>
    <xdr:sp macro="" textlink="" fLocksText="0">
      <xdr:nvSpPr>
        <xdr:cNvPr id="38" name="CuadroTexto 24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C2XeoMAAAAEAAAAAAAAAAAAAAAAAAAAAAAAAAeAAAAaAAAAAAAAAAAAAAAAAAAAAAAAAAAAAAAECcAABAnAAAAAAAAAAAAAAAAAAAAAAAAAAAAAAAAAAAAAAAAAAAAABQAAAAAAAAAwMD/AAAAAABkAAAAMgAAAAAAAABkAAAAAAAAAH9/fwAKAAAAIQAAADAAAAAsAAAATQAAAAcAAAAUARIAUAAAAAgAAABkABgAFyMAAB9eAAAHBQAAZwMAAAAAAAA="/>
            </a:ext>
          </a:extLst>
        </xdr:cNvSpPr>
      </xdr:nvSpPr>
      <xdr:spPr>
        <a:xfrm>
          <a:off x="5704205" y="15300325"/>
          <a:ext cx="817245" cy="5530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Mes de compra</a:t>
          </a:r>
        </a:p>
      </xdr:txBody>
    </xdr:sp>
    <xdr:clientData/>
  </xdr:twoCellAnchor>
  <xdr:twoCellAnchor>
    <xdr:from>
      <xdr:col>9</xdr:col>
      <xdr:colOff>289560</xdr:colOff>
      <xdr:row>79</xdr:row>
      <xdr:rowOff>82550</xdr:rowOff>
    </xdr:from>
    <xdr:to>
      <xdr:col>11</xdr:col>
      <xdr:colOff>228600</xdr:colOff>
      <xdr:row>82</xdr:row>
      <xdr:rowOff>39370</xdr:rowOff>
    </xdr:to>
    <xdr:sp macro="" textlink="" fLocksText="0">
      <xdr:nvSpPr>
        <xdr:cNvPr id="37" name="CuadroTexto 26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TwAAAAkAAACwAW0BUgAAAAsAAADOACAByC4AALZgAACgCQAAWAMAAAAAAAA="/>
            </a:ext>
          </a:extLst>
        </xdr:cNvSpPr>
      </xdr:nvSpPr>
      <xdr:spPr>
        <a:xfrm>
          <a:off x="7604760" y="15721330"/>
          <a:ext cx="1564640" cy="5435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del equipo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 (sin IVA)</a:t>
          </a:r>
        </a:p>
      </xdr:txBody>
    </xdr:sp>
    <xdr:clientData/>
  </xdr:twoCellAnchor>
  <xdr:twoCellAnchor>
    <xdr:from>
      <xdr:col>1</xdr:col>
      <xdr:colOff>38100</xdr:colOff>
      <xdr:row>77</xdr:row>
      <xdr:rowOff>61595</xdr:rowOff>
    </xdr:from>
    <xdr:to>
      <xdr:col>2</xdr:col>
      <xdr:colOff>333375</xdr:colOff>
      <xdr:row>80</xdr:row>
      <xdr:rowOff>33020</xdr:rowOff>
    </xdr:to>
    <xdr:sp macro="" textlink="" fLocksText="0">
      <xdr:nvSpPr>
        <xdr:cNvPr id="36" name="CuadroTexto 66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TQAAAAEAAABCATAAUAAAAAIAAACtAKQBPAUAAC1eAADRBgAAbwMAAAAAAAA="/>
            </a:ext>
          </a:extLst>
        </xdr:cNvSpPr>
      </xdr:nvSpPr>
      <xdr:spPr>
        <a:xfrm>
          <a:off x="850900" y="15309215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11</xdr:col>
      <xdr:colOff>752475</xdr:colOff>
      <xdr:row>78</xdr:row>
      <xdr:rowOff>9525</xdr:rowOff>
    </xdr:from>
    <xdr:to>
      <xdr:col>12</xdr:col>
      <xdr:colOff>333375</xdr:colOff>
      <xdr:row>79</xdr:row>
      <xdr:rowOff>48895</xdr:rowOff>
    </xdr:to>
    <xdr:cxnSp macro="">
      <xdr:nvCxnSpPr>
        <xdr:cNvPr id="35" name="Conector recto de flecha 68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TgAAAAsAAAAyALQDTwAAAAwAAAAAAaQBoTsAAA9fAABsAgAAcgEAAAAAAAA="/>
            </a:ext>
          </a:extLst>
        </xdr:cNvCxnSpPr>
      </xdr:nvCxnSpPr>
      <xdr:spPr>
        <a:xfrm flipH="1" flipV="1">
          <a:off x="9693275" y="15452725"/>
          <a:ext cx="393700" cy="2349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452755</xdr:colOff>
      <xdr:row>78</xdr:row>
      <xdr:rowOff>0</xdr:rowOff>
    </xdr:from>
    <xdr:to>
      <xdr:col>17</xdr:col>
      <xdr:colOff>114300</xdr:colOff>
      <xdr:row>84</xdr:row>
      <xdr:rowOff>95250</xdr:rowOff>
    </xdr:to>
    <xdr:sp macro="" textlink="" fLocksText="0">
      <xdr:nvSpPr>
        <xdr:cNvPr id="34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TgAAAAwAAAAAADoCVAAAABEAAADzAZAAyT4AAABfAADrFgAAzgcAAAAAAAA="/>
            </a:ext>
          </a:extLst>
        </xdr:cNvSpPr>
      </xdr:nvSpPr>
      <xdr:spPr>
        <a:xfrm>
          <a:off x="10206355" y="15443200"/>
          <a:ext cx="3725545" cy="126873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no elegible: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sólo los costes de amortización son elegibles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el resto se paga con los costes indirectos del proyecto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6</xdr:col>
      <xdr:colOff>132715</xdr:colOff>
      <xdr:row>92</xdr:row>
      <xdr:rowOff>66675</xdr:rowOff>
    </xdr:to>
    <xdr:pic>
      <xdr:nvPicPr>
        <xdr:cNvPr id="33" name="Imagen 70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FgAAAABAAAAAAAAAFwAAAAGAAAAXQGnAAAFAABSawAA0RkAADkFAAABAAAA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800" y="17445990"/>
          <a:ext cx="4196715" cy="8489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523875</xdr:colOff>
      <xdr:row>88</xdr:row>
      <xdr:rowOff>133350</xdr:rowOff>
    </xdr:from>
    <xdr:to>
      <xdr:col>12</xdr:col>
      <xdr:colOff>733425</xdr:colOff>
      <xdr:row>91</xdr:row>
      <xdr:rowOff>171450</xdr:rowOff>
    </xdr:to>
    <xdr:sp macro="" textlink="" fLocksText="0">
      <xdr:nvSpPr>
        <xdr:cNvPr id="32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oAZrYMAAAAEAAAAAAAAAAAAAAAAAAAAAAAAAAeAAAAaAAAAAAAAAAAAAAAAAAAAAAAAAAAAAAAECcAABAnAAAAAAAAAAAAAAAAAAAAAAAAAAAAAAAAAAAAAAAAAAAAABQAAAAAAAAAwMD/AAAAAABkAAAAMgAAAAAAAABkAAAAAAAAAH9/fwAKAAAAIQAAADAAAAAsAAAAWAAAAAYAAAC6ApQCWwAAAAwAAACCA5wDOSEAACRsAABKHwAA2AMAAAAAAAA="/>
            </a:ext>
          </a:extLst>
        </xdr:cNvSpPr>
      </xdr:nvSpPr>
      <xdr:spPr>
        <a:xfrm>
          <a:off x="5400675" y="17579340"/>
          <a:ext cx="5086350" cy="6248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consumibles de oficina (toners, hojas, etc) no son elegibles. La Comisión los considera costes indirectos</a:t>
          </a:r>
        </a:p>
      </xdr:txBody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6</xdr:col>
      <xdr:colOff>142240</xdr:colOff>
      <xdr:row>102</xdr:row>
      <xdr:rowOff>66675</xdr:rowOff>
    </xdr:to>
    <xdr:pic>
      <xdr:nvPicPr>
        <xdr:cNvPr id="31" name="Imagen 72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4Z30GDAAAABAAAAAAAAAAAAAAAAAAAAAAAAAAHgAAAGgAAAAAAAAAAAAAAAAAAAAAAAAAAAAAABAnAAAQJwAAAAAAAAAAAAAAAAAAAAAAAAAAAAAAAAAAAAAAAAAAAAAUAAAAAAAAAMDA/wAAAAAAZAAAADIAAAAAAAAAZAAAAAAAAAB/f38ACgAAACEAAAAwAAAALAAAAGAAAAABAAAAAAAAAGYAAAAGAAAAXQGzAAAFAAA8dQAA4BkAAKEHAAABAAAA"/>
            </a:ext>
          </a:extLst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800" y="19057620"/>
          <a:ext cx="4206240" cy="12401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209550</xdr:colOff>
      <xdr:row>99</xdr:row>
      <xdr:rowOff>133985</xdr:rowOff>
    </xdr:from>
    <xdr:to>
      <xdr:col>7</xdr:col>
      <xdr:colOff>9525</xdr:colOff>
      <xdr:row>99</xdr:row>
      <xdr:rowOff>134620</xdr:rowOff>
    </xdr:to>
    <xdr:cxnSp macro="">
      <xdr:nvCxnSpPr>
        <xdr:cNvPr id="30" name="Conector recto de flecha 73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YwAAAAYAAAC+AggBYwAAAAcAAADBAgwASh8AAKt5AADFAwAAAQAAAAAAAAA="/>
            </a:ext>
          </a:extLst>
        </xdr:cNvCxnSpPr>
      </xdr:nvCxnSpPr>
      <xdr:spPr>
        <a:xfrm flipH="1" flipV="1">
          <a:off x="5086350" y="19778345"/>
          <a:ext cx="6127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43180</xdr:colOff>
      <xdr:row>96</xdr:row>
      <xdr:rowOff>85725</xdr:rowOff>
    </xdr:from>
    <xdr:to>
      <xdr:col>13</xdr:col>
      <xdr:colOff>228600</xdr:colOff>
      <xdr:row>101</xdr:row>
      <xdr:rowOff>144145</xdr:rowOff>
    </xdr:to>
    <xdr:sp macro="" textlink="" fLocksText="0">
      <xdr:nvSpPr>
        <xdr:cNvPr id="29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YAAAAAcAAADBATYAZQAAAA0AAADzAiABRCMAAMN1AAAkHwAAYAYAAAAAAAA="/>
            </a:ext>
          </a:extLst>
        </xdr:cNvSpPr>
      </xdr:nvSpPr>
      <xdr:spPr>
        <a:xfrm>
          <a:off x="5732780" y="19143345"/>
          <a:ext cx="5062220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20 publicaciones, a 1500 € ==&gt; 30.000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ó se puede hacer un presupuesto más detallado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76200</xdr:colOff>
      <xdr:row>106</xdr:row>
      <xdr:rowOff>0</xdr:rowOff>
    </xdr:from>
    <xdr:to>
      <xdr:col>6</xdr:col>
      <xdr:colOff>199390</xdr:colOff>
      <xdr:row>115</xdr:row>
      <xdr:rowOff>66675</xdr:rowOff>
    </xdr:to>
    <xdr:pic>
      <xdr:nvPicPr>
        <xdr:cNvPr id="28" name="Imagen 75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oAAAADAAAABAAAAAAAAAAAAAAAAAAAAAAAAAAHgAAAGgAAAAAAAAAAAAAAAAAAAAAAAAAAAAAABAnAAAQJwAAAAAAAAAAAAAAAAAAAAAAAAAAAAAAAAAAAAAAAAAAAAAUAAAAAAAAAMDA/wAAAAAAZAAAADIAAAAAAAAAZAAAAAAAAAB/f38ACgAAACEAAAAwAAAALAAAAGoAAAABAAAAAABgAHMAAAAGAAAAXQH7AHgFAACOgQAAwhkAAD0LAAABAAAA"/>
            </a:ext>
          </a:extLst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9000" y="21060410"/>
          <a:ext cx="4187190" cy="18268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</xdr:col>
      <xdr:colOff>0</xdr:colOff>
      <xdr:row>107</xdr:row>
      <xdr:rowOff>9525</xdr:rowOff>
    </xdr:from>
    <xdr:to>
      <xdr:col>3</xdr:col>
      <xdr:colOff>685800</xdr:colOff>
      <xdr:row>114</xdr:row>
      <xdr:rowOff>75565</xdr:rowOff>
    </xdr:to>
    <xdr:sp macro="" textlink="" fLocksText="0">
      <xdr:nvSpPr>
        <xdr:cNvPr id="27" name="Rectángulo redondeado 76"/>
        <xdr:cNvSpPr>
          <a:extLst>
            <a:ext uri="smNativeData">
              <pm:smNativeData xmlns:pm="smNativeData" xmlns="" val="SMDATA_11_dlHnXhMAAAAlAAAAZQAAAI0AAAAAkAAAAEgAAACQAAAASAAAAAAAAAABAAAAAAAAAAEAAABQAAAAhbacS3FV1T8AAAAAAAAAAAAAAAAAAOA/AAAAAAAA4D8AAAAAAADgPwAAAAAAAOA/AAAAAAAA4D8AAAAAAADgPwAAAAAAAOA/AAAAAAAA4D8CAAAAjAAAAAAAAAAAAAAAW5vVAAAAAAAAAAAAAAAAAAAAAAAAAAAAAAAAAAAAAAAAAAAAZAAAAAEAAABAAAAAAAAAAAAAAAAAAAAAAAAAAAAAAAAAAAAAAAAAAAAAAAAAAAAAAAAAAAAAAAAAAAAAAAAAAAAAAAAAAAAAAAAAAAAAAAAAAAAAAAAAAAAAAAAAAAAAFAAAADwAAAABAAAAAAAAAP8AAAAe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awAAAAEAAAAyAAAAcgAAAAMAAACMAWADAAUAANGCAAA4DgAA1AgAAAAAAAA="/>
            </a:ext>
          </a:extLst>
        </xdr:cNvSpPr>
      </xdr:nvSpPr>
      <xdr:spPr>
        <a:xfrm>
          <a:off x="812800" y="21265515"/>
          <a:ext cx="2311400" cy="1435100"/>
        </a:xfrm>
        <a:prstGeom prst="roundRect">
          <a:avLst>
            <a:gd name="adj" fmla="val 16667"/>
          </a:avLst>
        </a:prstGeom>
        <a:noFill/>
        <a:ln w="19050" cap="flat">
          <a:solidFill>
            <a:srgbClr val="FF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3</xdr:col>
      <xdr:colOff>695325</xdr:colOff>
      <xdr:row>111</xdr:row>
      <xdr:rowOff>67310</xdr:rowOff>
    </xdr:from>
    <xdr:to>
      <xdr:col>6</xdr:col>
      <xdr:colOff>542925</xdr:colOff>
      <xdr:row>111</xdr:row>
      <xdr:rowOff>76200</xdr:rowOff>
    </xdr:to>
    <xdr:cxnSp macro="">
      <xdr:nvCxnSpPr>
        <xdr:cNvPr id="26" name="Conector recto de flecha 77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bwAAAAMAAABgAWwDbwAAAAYAAACPAawCRxMAAPyHAAAQDgAADgAAAAAAAAA="/>
            </a:ext>
          </a:extLst>
        </xdr:cNvCxnSpPr>
      </xdr:nvCxnSpPr>
      <xdr:spPr>
        <a:xfrm flipV="1">
          <a:off x="3133725" y="22105620"/>
          <a:ext cx="2286000" cy="889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528955</xdr:colOff>
      <xdr:row>110</xdr:row>
      <xdr:rowOff>114300</xdr:rowOff>
    </xdr:from>
    <xdr:to>
      <xdr:col>12</xdr:col>
      <xdr:colOff>714375</xdr:colOff>
      <xdr:row>112</xdr:row>
      <xdr:rowOff>76200</xdr:rowOff>
    </xdr:to>
    <xdr:sp macro="" textlink="" fLocksText="0">
      <xdr:nvSpPr>
        <xdr:cNvPr id="25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bgAAAAYAAABWApoCcAAAAAwAAACPAYQDQSEAABKHAAAkHwAALAIAAAAAAAA="/>
            </a:ext>
          </a:extLst>
        </xdr:cNvSpPr>
      </xdr:nvSpPr>
      <xdr:spPr>
        <a:xfrm>
          <a:off x="5405755" y="21957030"/>
          <a:ext cx="5062220" cy="3530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estos campos se muestran en la tabla resumen de costes</a:t>
          </a:r>
        </a:p>
      </xdr:txBody>
    </xdr:sp>
    <xdr:clientData/>
  </xdr:twoCellAnchor>
  <xdr:twoCellAnchor editAs="oneCell">
    <xdr:from>
      <xdr:col>1</xdr:col>
      <xdr:colOff>0</xdr:colOff>
      <xdr:row>127</xdr:row>
      <xdr:rowOff>0</xdr:rowOff>
    </xdr:from>
    <xdr:to>
      <xdr:col>6</xdr:col>
      <xdr:colOff>132715</xdr:colOff>
      <xdr:row>138</xdr:row>
      <xdr:rowOff>76200</xdr:rowOff>
    </xdr:to>
    <xdr:pic>
      <xdr:nvPicPr>
        <xdr:cNvPr id="24" name="Imagen 82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H8AAAABAAAAAAAAAIoAAAAGAAAAjwGnAAAFAAAcmwAA0RkAALQNAAABAAAA"/>
            </a:ext>
          </a:extLst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2800" y="25214580"/>
          <a:ext cx="4196715" cy="222758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323850</xdr:colOff>
      <xdr:row>131</xdr:row>
      <xdr:rowOff>57785</xdr:rowOff>
    </xdr:from>
    <xdr:to>
      <xdr:col>7</xdr:col>
      <xdr:colOff>123825</xdr:colOff>
      <xdr:row>131</xdr:row>
      <xdr:rowOff>58420</xdr:rowOff>
    </xdr:to>
    <xdr:cxnSp macro="">
      <xdr:nvCxnSpPr>
        <xdr:cNvPr id="23" name="Conector recto de flecha 83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gwAAAAYAAAAvAZgBgwAAAAcAAAAyAZwA/h8AAEegAADFAwAAAQAAAAAAAAA="/>
            </a:ext>
          </a:extLst>
        </xdr:cNvCxnSpPr>
      </xdr:nvCxnSpPr>
      <xdr:spPr>
        <a:xfrm flipH="1" flipV="1">
          <a:off x="5200650" y="26054685"/>
          <a:ext cx="6127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167005</xdr:colOff>
      <xdr:row>130</xdr:row>
      <xdr:rowOff>85725</xdr:rowOff>
    </xdr:from>
    <xdr:to>
      <xdr:col>8</xdr:col>
      <xdr:colOff>476250</xdr:colOff>
      <xdr:row>132</xdr:row>
      <xdr:rowOff>0</xdr:rowOff>
    </xdr:to>
    <xdr:sp macro="" textlink="" fLocksText="0">
      <xdr:nvSpPr>
        <xdr:cNvPr id="22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ggAAAAcAAADBAdIAhAAAAAgAAAAAAFgCByQAAD+fAADnBgAA4QEAAAAAAAA="/>
            </a:ext>
          </a:extLst>
        </xdr:cNvSpPr>
      </xdr:nvSpPr>
      <xdr:spPr>
        <a:xfrm>
          <a:off x="5856605" y="25887045"/>
          <a:ext cx="1122045" cy="30543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EJEMPLOS</a:t>
          </a:r>
        </a:p>
      </xdr:txBody>
    </xdr:sp>
    <xdr:clientData/>
  </xdr:twoCellAnchor>
  <xdr:twoCellAnchor>
    <xdr:from>
      <xdr:col>6</xdr:col>
      <xdr:colOff>624205</xdr:colOff>
      <xdr:row>134</xdr:row>
      <xdr:rowOff>38100</xdr:rowOff>
    </xdr:from>
    <xdr:to>
      <xdr:col>12</xdr:col>
      <xdr:colOff>723900</xdr:colOff>
      <xdr:row>138</xdr:row>
      <xdr:rowOff>9525</xdr:rowOff>
    </xdr:to>
    <xdr:sp macro="" textlink="" fLocksText="0">
      <xdr:nvSpPr>
        <xdr:cNvPr id="21" name="CuadroTexto 2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HHu2MMAAAAEAAAAAAAAAAAAAAAAAAAAAAAAAAeAAAAaAAAAAAAAAAAAAAAAAAAAAAAAAAAAAAAECcAABAnAAAAAAAAAAAAAAAAAAAAAAAAAAAAAAAAAAAAAAAAAAAAABQAAAAAAAAAwMD/AAAAAABkAAAAMgAAAAAAAABkAAAAAAAAAH9/fwAKAAAAIQAAADAAAAAsAAAAhgAAAAYAAADHABIDigAAAAwAAAAyAJAD1yEAAMSjAACdHgAAowQAAAAAAAA="/>
            </a:ext>
          </a:extLst>
        </xdr:cNvSpPr>
      </xdr:nvSpPr>
      <xdr:spPr>
        <a:xfrm>
          <a:off x="5501005" y="26621740"/>
          <a:ext cx="4976495" cy="75374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El diseño/mantenimiento de una web para el proyecto no se considera subcontracting en H2020.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Incluir este coste como "other"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12</xdr:col>
      <xdr:colOff>8255</xdr:colOff>
      <xdr:row>5</xdr:row>
      <xdr:rowOff>9525</xdr:rowOff>
    </xdr:to>
    <xdr:pic>
      <xdr:nvPicPr>
        <xdr:cNvPr id="20" name="Imagen 42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BwKRqDAAAABAAAAAAAAAAAAAAAAAAAAAAAAAAHgAAAGgAAAAAAAAAAAAAAAAAAAAAAAAAAAAAABAnAAAQJwAAAAAAAAAAAAAAAAAAAAAAAAAAAAAAAAAAAAAAAAAAAAAUAAAAAAAAAMDA/wAAAAAAZAAAADIAAAAAAAAAZAAAAAAAAAB/f38ACgAAACEAAAAwAAAALAAAAAEAAAABAAAAAAAAAAUAAAAMAAAAMgAKAAAFAAA0AQAADTcAAN8EAAABAAAA"/>
            </a:ext>
          </a:extLst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2800" y="195580"/>
          <a:ext cx="8949055" cy="79184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4</xdr:col>
      <xdr:colOff>485775</xdr:colOff>
      <xdr:row>5</xdr:row>
      <xdr:rowOff>79375</xdr:rowOff>
    </xdr:from>
    <xdr:to>
      <xdr:col>8</xdr:col>
      <xdr:colOff>276225</xdr:colOff>
      <xdr:row>7</xdr:row>
      <xdr:rowOff>0</xdr:rowOff>
    </xdr:to>
    <xdr:sp macro="" textlink="" fLocksText="0">
      <xdr:nvSpPr>
        <xdr:cNvPr id="19" name="CuadroTexto 1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/3AAMAAAAEAAAAAAAAAAAAAAAAAAAAAAAAAAeAAAAaAAAAAAAAAAAAAAAAAAAAAAAAAAAAAAAECcAABAnAAAAAAAAAAAAAAAAAAAAAAAAAAAAAAAAAAAAAAAAAAAAABQAAAAAAAAAwMD/AAAAAABkAAAAMgAAAAAAAABkAAAAAAAAAH9/fwAKAAAAIQAAADAAAAAsAAAABQAAAAQAAACgAWQCBwAAAAgAAAAAAFwB/RYAAIEGAAC2EgAA6wEAAAAAAAA="/>
            </a:ext>
          </a:extLst>
        </xdr:cNvSpPr>
      </xdr:nvSpPr>
      <xdr:spPr>
        <a:xfrm>
          <a:off x="3736975" y="1057275"/>
          <a:ext cx="3041650" cy="3117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Duración (en meses) del proyecto</a:t>
          </a:r>
        </a:p>
      </xdr:txBody>
    </xdr:sp>
    <xdr:clientData/>
  </xdr:twoCellAnchor>
  <xdr:twoCellAnchor>
    <xdr:from>
      <xdr:col>4</xdr:col>
      <xdr:colOff>522605</xdr:colOff>
      <xdr:row>3</xdr:row>
      <xdr:rowOff>133350</xdr:rowOff>
    </xdr:from>
    <xdr:to>
      <xdr:col>4</xdr:col>
      <xdr:colOff>523875</xdr:colOff>
      <xdr:row>6</xdr:row>
      <xdr:rowOff>60960</xdr:rowOff>
    </xdr:to>
    <xdr:cxnSp macro="">
      <xdr:nvCxnSpPr>
        <xdr:cNvPr id="18" name="Conector recto de flecha 87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ZhgF0MAAAAEAAAAAAAAAAAAAAAAAAAAAAAAAAeAAAAaAAAAAAAAAAAAAAAAAAAAAAAAAAAAAAAECcAABAnAAAAAAAAAAAAAAAAAAAAAAAAAAAAAAAAAAAAAAAAAAAAABQAAAAAAAAAwMD/AAAAAABkAAAAMgAAAAAAAABkAAAAAAAAAH9/fwAKAAAAIQAAADAAAAAsAAAAAwAAAAQAAAC6ApICBgAAAAQAAAA/AZQCNxcAAG4EAAACAAAAKgMAAAAAAAA="/>
            </a:ext>
          </a:extLst>
        </xdr:cNvCxnSpPr>
      </xdr:nvCxnSpPr>
      <xdr:spPr>
        <a:xfrm flipV="1">
          <a:off x="3773805" y="720090"/>
          <a:ext cx="1270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0</xdr:colOff>
      <xdr:row>10</xdr:row>
      <xdr:rowOff>0</xdr:rowOff>
    </xdr:from>
    <xdr:to>
      <xdr:col>10</xdr:col>
      <xdr:colOff>370840</xdr:colOff>
      <xdr:row>22</xdr:row>
      <xdr:rowOff>66675</xdr:rowOff>
    </xdr:to>
    <xdr:pic>
      <xdr:nvPicPr>
        <xdr:cNvPr id="17" name="Imagen 94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oAAAABAAAAAAAAABYAAAAKAAAAXQHTAQAFAABSDAAASC8AANkOAAABAAAA"/>
            </a:ext>
          </a:extLst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2800" y="2002790"/>
          <a:ext cx="7686040" cy="241363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10</xdr:col>
      <xdr:colOff>228600</xdr:colOff>
      <xdr:row>25</xdr:row>
      <xdr:rowOff>133350</xdr:rowOff>
    </xdr:from>
    <xdr:to>
      <xdr:col>11</xdr:col>
      <xdr:colOff>152400</xdr:colOff>
      <xdr:row>25</xdr:row>
      <xdr:rowOff>133350</xdr:rowOff>
    </xdr:to>
    <xdr:cxnSp macro="">
      <xdr:nvCxnSpPr>
        <xdr:cNvPr id="16" name="Conector recto de flecha 95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CIkgYMAAAAEAAAAAAAAAAAAAAAAAAAAAAAAAAeAAAAaAAAAAAAAAAAAAAAAAAAAAAAAAAAAAAAECcAABAnAAAAAAAAAAAAAAAAAAAAAAAAAAAAAAAAAAAAAAAAAAAAABQAAAAAAAAAwMD/AAAAAABkAAAAMgAAAAAAAABkAAAAAAAAAH9/fwAKAAAAIQAAADAAAAAsAAAAGQAAAAoAAAC6AiABGQAAAAsAAAC6AsAAaDMAADAfAACIBAAAAAAAAAAAAAA="/>
            </a:ext>
          </a:extLst>
        </xdr:cNvCxnSpPr>
      </xdr:nvCxnSpPr>
      <xdr:spPr>
        <a:xfrm>
          <a:off x="8356600" y="5069840"/>
          <a:ext cx="736600" cy="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19050</xdr:colOff>
      <xdr:row>30</xdr:row>
      <xdr:rowOff>28575</xdr:rowOff>
    </xdr:from>
    <xdr:to>
      <xdr:col>17</xdr:col>
      <xdr:colOff>179705</xdr:colOff>
      <xdr:row>44</xdr:row>
      <xdr:rowOff>75565</xdr:rowOff>
    </xdr:to>
    <xdr:pic>
      <xdr:nvPicPr>
        <xdr:cNvPr id="15" name="Imagen 96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B4AAAABAAAAlgAYACwAAAARAAAAjAHiAB4FAADZJAAA/VAAACIRAAABAAAA"/>
            </a:ext>
          </a:extLst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1850" y="5989955"/>
          <a:ext cx="13165455" cy="278511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11</xdr:col>
      <xdr:colOff>24130</xdr:colOff>
      <xdr:row>38</xdr:row>
      <xdr:rowOff>76200</xdr:rowOff>
    </xdr:from>
    <xdr:to>
      <xdr:col>11</xdr:col>
      <xdr:colOff>38100</xdr:colOff>
      <xdr:row>43</xdr:row>
      <xdr:rowOff>133350</xdr:rowOff>
    </xdr:to>
    <xdr:cxnSp macro="">
      <xdr:nvCxnSpPr>
        <xdr:cNvPr id="14" name="Conector recto de flecha 98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BaYgYMAAAAEAAAAAAAAAAAAAAAAAAAAAAAAAAeAAAAaAAAAAAAAAAAAAAAAAAAAAAAAAAAAAAAECcAABAnAAAAAAAAAAAAAAAAAAAAAAAAAAAAAAAAAAAAAAAAAAAAABQAAAAAAAAAwMD/AAAAAABkAAAAMgAAAAAAAABkAAAAAAAAAH9/fwAKAAAAIQAAADAAAAAsAAAAJgAAAAsAAACPAR4AKwAAAAsAAAC6AjAAJjcAAMQuAAAWAAAAXgYAAAAAAAA="/>
            </a:ext>
          </a:extLst>
        </xdr:cNvCxnSpPr>
      </xdr:nvCxnSpPr>
      <xdr:spPr>
        <a:xfrm flipH="1" flipV="1">
          <a:off x="8964930" y="7602220"/>
          <a:ext cx="13970" cy="10350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90805</xdr:colOff>
      <xdr:row>38</xdr:row>
      <xdr:rowOff>47625</xdr:rowOff>
    </xdr:from>
    <xdr:to>
      <xdr:col>11</xdr:col>
      <xdr:colOff>47625</xdr:colOff>
      <xdr:row>43</xdr:row>
      <xdr:rowOff>152400</xdr:rowOff>
    </xdr:to>
    <xdr:cxnSp macro="">
      <xdr:nvCxnSpPr>
        <xdr:cNvPr id="13" name="Conector recto de flecha 106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4uLi4MAAAAEAAAAAAAAAAAAAAAAAAAAAAAAAAeAAAAaAAAAAAAAAAAAAAAAAAAAAAAAAAAAAAAECcAABAnAAAAAAAAAAAAAAAAAAAAAAAAAAAAAAAAAAAAAAAAAAAAABQAAAAAAAAAwMD/AAAAAABkAAAAMgAAAAAAAABkAAAAAAAAAH9/fwAKAAAAIQAAADAAAAAsAAAAJgAAAAgAAAD5AHIAKwAAAAsAAAAeAzwAjygAAJcuAAC8DgAAqQYAAAAAAAA="/>
            </a:ext>
          </a:extLst>
        </xdr:cNvCxnSpPr>
      </xdr:nvCxnSpPr>
      <xdr:spPr>
        <a:xfrm flipH="1" flipV="1">
          <a:off x="6593205" y="7573645"/>
          <a:ext cx="2395220" cy="108267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38100</xdr:colOff>
      <xdr:row>43</xdr:row>
      <xdr:rowOff>57150</xdr:rowOff>
    </xdr:from>
    <xdr:to>
      <xdr:col>14</xdr:col>
      <xdr:colOff>457200</xdr:colOff>
      <xdr:row>45</xdr:row>
      <xdr:rowOff>9525</xdr:rowOff>
    </xdr:to>
    <xdr:sp macro="" textlink="" fLocksText="0">
      <xdr:nvSpPr>
        <xdr:cNvPr id="12" name="CuadroTexto 28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KwAAAAsAAAArATAALQAAAA4AAAAyAEACPDcAAKo0AACUEQAAHQIAAAAAAAA="/>
            </a:ext>
          </a:extLst>
        </xdr:cNvSpPr>
      </xdr:nvSpPr>
      <xdr:spPr>
        <a:xfrm>
          <a:off x="8978900" y="8561070"/>
          <a:ext cx="2857500" cy="34353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2</xdr:col>
      <xdr:colOff>314325</xdr:colOff>
      <xdr:row>77</xdr:row>
      <xdr:rowOff>9525</xdr:rowOff>
    </xdr:from>
    <xdr:to>
      <xdr:col>2</xdr:col>
      <xdr:colOff>316230</xdr:colOff>
      <xdr:row>79</xdr:row>
      <xdr:rowOff>127635</xdr:rowOff>
    </xdr:to>
    <xdr:cxnSp macro="">
      <xdr:nvCxnSpPr>
        <xdr:cNvPr id="11" name="Conector recto de flecha 111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TQAAAAIAAAAyAIwBTwAAAAIAAACcAo4B7wsAANtdAAADAAAAIgMAAAAAAAA="/>
            </a:ext>
          </a:extLst>
        </xdr:cNvCxnSpPr>
      </xdr:nvCxnSpPr>
      <xdr:spPr>
        <a:xfrm flipV="1">
          <a:off x="1939925" y="15257145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304800</xdr:colOff>
      <xdr:row>76</xdr:row>
      <xdr:rowOff>161925</xdr:rowOff>
    </xdr:from>
    <xdr:to>
      <xdr:col>6</xdr:col>
      <xdr:colOff>306705</xdr:colOff>
      <xdr:row>79</xdr:row>
      <xdr:rowOff>89535</xdr:rowOff>
    </xdr:to>
    <xdr:cxnSp macro="">
      <xdr:nvCxnSpPr>
        <xdr:cNvPr id="10" name="Conector recto de flecha 113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TAAAAAYAAABQA4ABTwAAAAYAAADVAYIB4B8AAJddAAADAAAAKgMAAAAAAAA="/>
            </a:ext>
          </a:extLst>
        </xdr:cNvCxnSpPr>
      </xdr:nvCxnSpPr>
      <xdr:spPr>
        <a:xfrm flipV="1">
          <a:off x="5181600" y="1521396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733425</xdr:colOff>
      <xdr:row>76</xdr:row>
      <xdr:rowOff>161925</xdr:rowOff>
    </xdr:from>
    <xdr:to>
      <xdr:col>7</xdr:col>
      <xdr:colOff>735330</xdr:colOff>
      <xdr:row>79</xdr:row>
      <xdr:rowOff>89535</xdr:rowOff>
    </xdr:to>
    <xdr:cxnSp macro="">
      <xdr:nvCxnSpPr>
        <xdr:cNvPr id="9" name="Conector recto de flecha 114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9OeP8MAAAAEAAAAAAAAAAAAAAAAAAAAAAAAAAeAAAAaAAAAAAAAAAAAAAAAAAAAAAAAAAAAAAAECcAABAnAAAAAAAAAAAAAAAAAAAAAAAAAAAAAAAAAAAAAAAAAAAAABQAAAAAAAAAwMD/AAAAAABkAAAAMgAAAAAAAABkAAAAAAAAAH9/fwAKAAAAIQAAADAAAAAsAAAATAAAAAcAAABQA5wDTwAAAAcAAADVAZ4DgycAAJddAAADAAAAKgMAAAAAAAA="/>
            </a:ext>
          </a:extLst>
        </xdr:cNvCxnSpPr>
      </xdr:nvCxnSpPr>
      <xdr:spPr>
        <a:xfrm flipV="1">
          <a:off x="6423025" y="1521396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19050</xdr:colOff>
      <xdr:row>76</xdr:row>
      <xdr:rowOff>171450</xdr:rowOff>
    </xdr:from>
    <xdr:to>
      <xdr:col>9</xdr:col>
      <xdr:colOff>20955</xdr:colOff>
      <xdr:row>79</xdr:row>
      <xdr:rowOff>99060</xdr:rowOff>
    </xdr:to>
    <xdr:cxnSp macro="">
      <xdr:nvCxnSpPr>
        <xdr:cNvPr id="8" name="Conector recto de flecha 115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9OeP8MAAAAEAAAAAAAAAAAAAAAAAAAAAAAAAAeAAAAaAAAAAAAAAAAAAAAAAAAAAAAAAAAAAAAECcAABAnAAAAAAAAAAAAAAAAAAAAAAAAAAAAAAAAAAAAAAAAAAAAABQAAAAAAAAAwMD/AAAAAABkAAAAMgAAAAAAAABkAAAAAAAAAH9/fwAKAAAAIQAAADAAAAAsAAAATAAAAAkAAACCAxgATwAAAAkAAAAHAhoAHi0AAKZdAAADAAAAKgMAAAAAAAA="/>
            </a:ext>
          </a:extLst>
        </xdr:cNvCxnSpPr>
      </xdr:nvCxnSpPr>
      <xdr:spPr>
        <a:xfrm flipV="1">
          <a:off x="7334250" y="15223490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66675</xdr:colOff>
      <xdr:row>76</xdr:row>
      <xdr:rowOff>180975</xdr:rowOff>
    </xdr:from>
    <xdr:to>
      <xdr:col>10</xdr:col>
      <xdr:colOff>68580</xdr:colOff>
      <xdr:row>79</xdr:row>
      <xdr:rowOff>108585</xdr:rowOff>
    </xdr:to>
    <xdr:cxnSp macro="">
      <xdr:nvCxnSpPr>
        <xdr:cNvPr id="7" name="Conector recto de flecha 116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9OeP8MAAAAEAAAAAAAAAAAAAAAAAAAAAAAAAAeAAAAaAAAAAAAAAAAAAAAAAAAAAAAAAAAAAAAECcAABAnAAAAAAAAAAAAAAAAAAAAAAAAAAAAAAAAAAAAAAAAAAAAABQAAAAAAAAAwMD/AAAAAABkAAAAMgAAAAAAAABkAAAAAAAAAH9/fwAKAAAAIQAAADAAAAAsAAAATAAAAAoAAAC0A1QATwAAAAoAAAA5AlYAaTIAALVdAAADAAAAKgMAAAAAAAA="/>
            </a:ext>
          </a:extLst>
        </xdr:cNvCxnSpPr>
      </xdr:nvCxnSpPr>
      <xdr:spPr>
        <a:xfrm flipV="1">
          <a:off x="8194675" y="1523301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157480</xdr:colOff>
      <xdr:row>77</xdr:row>
      <xdr:rowOff>43180</xdr:rowOff>
    </xdr:from>
    <xdr:to>
      <xdr:col>9</xdr:col>
      <xdr:colOff>161925</xdr:colOff>
      <xdr:row>80</xdr:row>
      <xdr:rowOff>9525</xdr:rowOff>
    </xdr:to>
    <xdr:sp macro="" textlink="" fLocksText="0">
      <xdr:nvSpPr>
        <xdr:cNvPr id="6" name="CuadroTexto 24"/>
        <xdr:cNvSpPr>
          <a:extLst>
            <a:ext uri="smNativeData">
              <pm:smNativeData xmlns:pm="smNativeData" xmlns="" val="SMDATA_11_dlHn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TQAAAAgAAADiAMYAUAAAAAkAAAAyAMwA+CgAABBeAAAHBQAAZwMAAAAAAAA="/>
            </a:ext>
          </a:extLst>
        </xdr:cNvSpPr>
      </xdr:nvSpPr>
      <xdr:spPr>
        <a:xfrm>
          <a:off x="6659880" y="15290800"/>
          <a:ext cx="817245" cy="5530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% Uso Equipo</a:t>
          </a:r>
        </a:p>
      </xdr:txBody>
    </xdr:sp>
    <xdr:clientData/>
  </xdr:twoCellAnchor>
  <xdr:twoCellAnchor editAs="oneCell">
    <xdr:from>
      <xdr:col>7</xdr:col>
      <xdr:colOff>276225</xdr:colOff>
      <xdr:row>114</xdr:row>
      <xdr:rowOff>161925</xdr:rowOff>
    </xdr:from>
    <xdr:to>
      <xdr:col>14</xdr:col>
      <xdr:colOff>647065</xdr:colOff>
      <xdr:row>122</xdr:row>
      <xdr:rowOff>9525</xdr:rowOff>
    </xdr:to>
    <xdr:pic>
      <xdr:nvPicPr>
        <xdr:cNvPr id="5" name="Imagen 118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BOU///DAAAABAAAAAAAAAAAAAAAAAAAAAAAAAAHgAAAGgAAAAAAAAAAAAAAAAAAAAAAAAAAAAAABAnAAAQJwAAAAAAAAAAAAAAAAAAAAAAAAAAAAAAAAAAAAAAAAAAAAAUAAAAAAAAAMDA/wAAAAAAZAAAADIAAAAAAAAAZAAAAAAAAAB/f38ACgAAACEAAAAwAAAALAAAAHIAAAAHAAAAUANcAXoAAAAOAAAAMgAvA7MkAAAtjAAASCUAALAIAAABAAAA"/>
            </a:ext>
          </a:extLst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965825" y="22786975"/>
          <a:ext cx="6060440" cy="14122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8</xdr:col>
      <xdr:colOff>361950</xdr:colOff>
      <xdr:row>114</xdr:row>
      <xdr:rowOff>103505</xdr:rowOff>
    </xdr:from>
    <xdr:to>
      <xdr:col>11</xdr:col>
      <xdr:colOff>285750</xdr:colOff>
      <xdr:row>121</xdr:row>
      <xdr:rowOff>170180</xdr:rowOff>
    </xdr:to>
    <xdr:sp macro="" textlink="" fLocksText="0">
      <xdr:nvSpPr>
        <xdr:cNvPr id="4" name="Rectángulo redondeado 119"/>
        <xdr:cNvSpPr>
          <a:extLst>
            <a:ext uri="smNativeData">
              <pm:smNativeData xmlns:pm="smNativeData" xmlns="" val="SMDATA_11_dlHnXhMAAAAlAAAAZQAAAI0AAAAAkAAAAEgAAACQAAAASAAAAAAAAAABAAAAAAAAAAEAAABQAAAAhbacS3FV1T8AAAAAAAAAAAAAAAAAAOA/AAAAAAAA4D8AAAAAAADgPwAAAAAAAOA/AAAAAAAA4D8AAAAAAADgPwAAAAAAAOA/AAAAAAAA4D8CAAAAjAAAAAAAAAAAAAAAW5vVAAAAAAAAAAAAAAAAAAAAAAAAAAAAAAAAAAAAAAAAAAAAZAAAAAEAAABAAAAAAAAAAAAAAAAAAAAAAAAAAAAAAAAAAAAAAAAAAAAAAAAAAAAAAAAAAAAAAAAAAAAAAAAAAAAAAAAAAAAAAAAAAAAAAAAAAAAAAAAAAAAAAAAAAAAAFAAAADwAAAABAAAAAAAAAP8AAAAe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FJ/9UMAAAAEAAAAAAAAAAAAAAAAAAAAAAAAAAeAAAAaAAAAAAAAAAAAAAAAAAAAAAAAAAAAAAAECcAABAnAAAAAAAAAAAAAAAAAAAAAAAAAAAAAAAAAAAAAAAAAAAAABQAAAAAAAAAwMD/AAAAAABkAAAAMgAAAAAAAABkAAAAAAAAAH9/fwAKAAAAIQAAADAAAAAsAAAAcgAAAAgAAAAeAsgBeQAAAAsAAAB7A2gBOioAANGLAACIDgAA1QgAAAAAAAA="/>
            </a:ext>
          </a:extLst>
        </xdr:cNvSpPr>
      </xdr:nvSpPr>
      <xdr:spPr>
        <a:xfrm>
          <a:off x="6864350" y="22728555"/>
          <a:ext cx="2362200" cy="1435735"/>
        </a:xfrm>
        <a:prstGeom prst="roundRect">
          <a:avLst>
            <a:gd name="adj" fmla="val 16667"/>
          </a:avLst>
        </a:prstGeom>
        <a:noFill/>
        <a:ln w="19050" cap="flat">
          <a:solidFill>
            <a:srgbClr val="FF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11</xdr:col>
      <xdr:colOff>228600</xdr:colOff>
      <xdr:row>112</xdr:row>
      <xdr:rowOff>9525</xdr:rowOff>
    </xdr:from>
    <xdr:to>
      <xdr:col>11</xdr:col>
      <xdr:colOff>647700</xdr:colOff>
      <xdr:row>114</xdr:row>
      <xdr:rowOff>132080</xdr:rowOff>
    </xdr:to>
    <xdr:cxnSp macro="">
      <xdr:nvCxnSpPr>
        <xdr:cNvPr id="3" name="Conector recto de flecha 120"/>
        <xdr:cNvCxnSpPr>
          <a:extLst>
            <a:ext uri="smNativeData">
              <pm:smNativeData xmlns:pm="smNativeData" xmlns="" val="SMDATA_11_dlHn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IvlT8MAAAAEAAAAAAAAAAAAAAAAAAAAAAAAAAeAAAAaAAAAAAAAAAAAAAAAAAAAAAAAAAAAAAAECcAABAnAAAAAAAAAAAAAAAAAAAAAAAAAAAAAAAAAAAAAAAAAAAAABQAAAAAAAAAwMD/AAAAAABkAAAAMgAAAAAAAABkAAAAAAAAAH9/fwAKAAAAIQAAADAAAAAsAAAAcAAAAAsAAAAyACABcgAAAAsAAAC0AjADaDgAANWIAACUAgAAKQMAAAAAAAA="/>
            </a:ext>
          </a:extLst>
        </xdr:cNvCxnSpPr>
      </xdr:nvCxnSpPr>
      <xdr:spPr>
        <a:xfrm flipH="1">
          <a:off x="9169400" y="22243415"/>
          <a:ext cx="419100" cy="51371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723900</xdr:colOff>
      <xdr:row>63</xdr:row>
      <xdr:rowOff>47625</xdr:rowOff>
    </xdr:from>
    <xdr:to>
      <xdr:col>13</xdr:col>
      <xdr:colOff>17780</xdr:colOff>
      <xdr:row>77</xdr:row>
      <xdr:rowOff>8890</xdr:rowOff>
    </xdr:to>
    <xdr:pic>
      <xdr:nvPicPr>
        <xdr:cNvPr id="2" name="Imagen 1"/>
        <xdr:cNvPicPr>
          <a:picLocks noChangeAspect="1"/>
          <a:extLst>
            <a:ext uri="smNativeData">
              <pm:smNativeData xmlns:pm="smNativeData" xmlns="" val="SMDATA_13_dlHn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ZOSLJDAAAABAAAAAAAAAAAAAAAAAAAAAAAAAAHgAAAGgAAAAAAAAAAAAAAAAAAAAAAAAAAAAAABAnAAAQJwAAAAAAAAAAAAAAAAAAAAAAAAAAAAAAAAAAAAAAAAAAAAAUAAAAAAAAAMDA/wAAAAAAZAAAADIAAAAAAAAAZAAAAAAAAAB/f38ACgAAACEAAAAwAAAALAAAAD8AAAAAAAAA+QCQA00AAAANAAAALwAWAHQEAAA/TQAAqDwAAJsQAAABAAAA"/>
            </a:ext>
          </a:extLst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23900" y="12557125"/>
          <a:ext cx="9860280" cy="26993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/Documents/PE/H2020/Propuestas/presupuesto_H2020_v_trabajo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Budget UCM"/>
      <sheetName val="Presupuesto detallado"/>
      <sheetName val="Personal contratado"/>
      <sheetName val="Hoja2"/>
      <sheetName val="Resultados"/>
      <sheetName val="Form A.3"/>
      <sheetName val="Annex A4 GA "/>
    </sheetNames>
    <sheetDataSet>
      <sheetData sheetId="0"/>
      <sheetData sheetId="1"/>
      <sheetData sheetId="2"/>
      <sheetData sheetId="3"/>
      <sheetData sheetId="4">
        <row r="1">
          <cell r="B1">
            <v>12</v>
          </cell>
          <cell r="C1">
            <v>12</v>
          </cell>
          <cell r="D1" t="str">
            <v>Informático</v>
          </cell>
        </row>
        <row r="2">
          <cell r="B2">
            <v>18</v>
          </cell>
          <cell r="D2" t="str">
            <v>No Informático</v>
          </cell>
        </row>
        <row r="20">
          <cell r="A20" t="str">
            <v>Otra</v>
          </cell>
        </row>
        <row r="21">
          <cell r="A21" t="str">
            <v>Técnico de formación profesional</v>
          </cell>
        </row>
        <row r="22">
          <cell r="A22" t="str">
            <v>Licenciado o ingeniero</v>
          </cell>
        </row>
        <row r="23">
          <cell r="A23" t="str">
            <v>Doctor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showGridLines="0" tabSelected="1" workbookViewId="0">
      <selection activeCell="G44" sqref="G44"/>
    </sheetView>
  </sheetViews>
  <sheetFormatPr baseColWidth="10" defaultColWidth="11.42578125" defaultRowHeight="15" x14ac:dyDescent="0.25"/>
  <cols>
    <col min="1" max="1" width="11.42578125" style="1" customWidth="1"/>
    <col min="2" max="2" width="14.28515625" style="1" customWidth="1"/>
    <col min="3" max="3" width="13.28515625" style="1" customWidth="1"/>
    <col min="4" max="4" width="33.28515625" style="1" customWidth="1"/>
    <col min="5" max="5" width="35.5703125" style="1" customWidth="1"/>
    <col min="6" max="6" width="11.7109375" style="1" customWidth="1"/>
    <col min="7" max="7" width="11.42578125" style="1" customWidth="1"/>
    <col min="8" max="8" width="18.140625" style="1" customWidth="1"/>
    <col min="9" max="10" width="11.42578125" style="1" customWidth="1"/>
    <col min="11" max="11" width="53.7109375" style="1" customWidth="1"/>
    <col min="12" max="12" width="14.85546875" style="1" customWidth="1"/>
    <col min="13" max="13" width="11.42578125" style="1" customWidth="1"/>
    <col min="14" max="16384" width="11.42578125" style="1"/>
  </cols>
  <sheetData>
    <row r="1" spans="1:11" ht="28.5" x14ac:dyDescent="0.25">
      <c r="A1" s="139" t="s">
        <v>0</v>
      </c>
      <c r="B1" s="140"/>
      <c r="C1" s="140"/>
      <c r="D1" s="140"/>
      <c r="E1" s="141"/>
      <c r="F1" s="24" t="s">
        <v>1</v>
      </c>
      <c r="G1" s="137" t="s">
        <v>2</v>
      </c>
      <c r="H1" s="138" t="str">
        <f>IF(F21=0,"",IF(F21&gt;J4,"PROYECTO VIABLE","NO VIABLE ECONÓMICAMENTE"))</f>
        <v>PROYECTO VIABLE</v>
      </c>
    </row>
    <row r="2" spans="1:11" x14ac:dyDescent="0.25">
      <c r="A2" s="146" t="s">
        <v>3</v>
      </c>
      <c r="B2" s="144" t="s">
        <v>4</v>
      </c>
      <c r="C2" s="142" t="s">
        <v>5</v>
      </c>
      <c r="D2" s="142"/>
      <c r="E2" s="143"/>
      <c r="F2" s="79">
        <f>H40</f>
        <v>41250</v>
      </c>
    </row>
    <row r="3" spans="1:11" x14ac:dyDescent="0.25">
      <c r="A3" s="147"/>
      <c r="B3" s="145"/>
      <c r="C3" s="149" t="s">
        <v>6</v>
      </c>
      <c r="D3" s="149"/>
      <c r="E3" s="150"/>
      <c r="F3" s="80">
        <f>H51</f>
        <v>79200</v>
      </c>
    </row>
    <row r="4" spans="1:11" x14ac:dyDescent="0.25">
      <c r="A4" s="147"/>
      <c r="B4" s="151" t="s">
        <v>7</v>
      </c>
      <c r="C4" s="152"/>
      <c r="D4" s="152"/>
      <c r="E4" s="153"/>
      <c r="F4" s="82">
        <f>SUM(F2:F3)</f>
        <v>120450</v>
      </c>
      <c r="J4" s="107">
        <f>J5+J6+J7</f>
        <v>15056.25</v>
      </c>
      <c r="K4" s="108" t="s">
        <v>8</v>
      </c>
    </row>
    <row r="5" spans="1:11" x14ac:dyDescent="0.25">
      <c r="A5" s="147"/>
      <c r="B5" s="154" t="s">
        <v>9</v>
      </c>
      <c r="C5" s="149" t="s">
        <v>10</v>
      </c>
      <c r="D5" s="149"/>
      <c r="E5" s="150"/>
      <c r="F5" s="80">
        <f>E62</f>
        <v>0</v>
      </c>
      <c r="J5" s="107">
        <f>J72</f>
        <v>0</v>
      </c>
      <c r="K5" s="109" t="s">
        <v>11</v>
      </c>
    </row>
    <row r="6" spans="1:11" x14ac:dyDescent="0.25">
      <c r="A6" s="147"/>
      <c r="B6" s="154"/>
      <c r="C6" s="149" t="s">
        <v>12</v>
      </c>
      <c r="D6" s="149"/>
      <c r="E6" s="150"/>
      <c r="F6" s="80">
        <f>J71</f>
        <v>0</v>
      </c>
      <c r="J6" s="107">
        <f>ROUND(F21*0.05,2)</f>
        <v>7528.13</v>
      </c>
      <c r="K6" s="109" t="s">
        <v>13</v>
      </c>
    </row>
    <row r="7" spans="1:11" x14ac:dyDescent="0.25">
      <c r="A7" s="147"/>
      <c r="B7" s="154"/>
      <c r="C7" s="149" t="s">
        <v>14</v>
      </c>
      <c r="D7" s="149"/>
      <c r="E7" s="150"/>
      <c r="F7" s="80">
        <f>E87</f>
        <v>0</v>
      </c>
      <c r="J7" s="107">
        <f>ROUND((F19-J6)/3,2)</f>
        <v>7528.12</v>
      </c>
      <c r="K7" s="109" t="s">
        <v>15</v>
      </c>
    </row>
    <row r="8" spans="1:11" x14ac:dyDescent="0.25">
      <c r="A8" s="147"/>
      <c r="B8" s="154"/>
      <c r="C8" s="149" t="s">
        <v>16</v>
      </c>
      <c r="D8" s="149"/>
      <c r="E8" s="150"/>
      <c r="F8" s="80">
        <f>E100</f>
        <v>0</v>
      </c>
      <c r="J8" s="77"/>
    </row>
    <row r="9" spans="1:11" x14ac:dyDescent="0.25">
      <c r="A9" s="147"/>
      <c r="B9" s="154"/>
      <c r="C9" s="157" t="s">
        <v>17</v>
      </c>
      <c r="D9" s="155" t="str">
        <f t="shared" ref="D9:D15" si="0">IF(C104="","",C104)</f>
        <v/>
      </c>
      <c r="E9" s="156"/>
      <c r="F9" s="81" t="str">
        <f t="shared" ref="F9:F15" si="1">IF(E104="","",E104)</f>
        <v/>
      </c>
    </row>
    <row r="10" spans="1:11" x14ac:dyDescent="0.25">
      <c r="A10" s="147"/>
      <c r="B10" s="154"/>
      <c r="C10" s="158"/>
      <c r="D10" s="155" t="str">
        <f t="shared" si="0"/>
        <v/>
      </c>
      <c r="E10" s="156"/>
      <c r="F10" s="81" t="str">
        <f t="shared" si="1"/>
        <v/>
      </c>
    </row>
    <row r="11" spans="1:11" x14ac:dyDescent="0.25">
      <c r="A11" s="147"/>
      <c r="B11" s="154"/>
      <c r="C11" s="158"/>
      <c r="D11" s="155" t="str">
        <f t="shared" si="0"/>
        <v/>
      </c>
      <c r="E11" s="156"/>
      <c r="F11" s="81" t="str">
        <f t="shared" si="1"/>
        <v/>
      </c>
    </row>
    <row r="12" spans="1:11" x14ac:dyDescent="0.25">
      <c r="A12" s="147"/>
      <c r="B12" s="154"/>
      <c r="C12" s="158"/>
      <c r="D12" s="155" t="str">
        <f t="shared" si="0"/>
        <v/>
      </c>
      <c r="E12" s="156"/>
      <c r="F12" s="81" t="str">
        <f t="shared" si="1"/>
        <v/>
      </c>
    </row>
    <row r="13" spans="1:11" x14ac:dyDescent="0.25">
      <c r="A13" s="147"/>
      <c r="B13" s="154"/>
      <c r="C13" s="158"/>
      <c r="D13" s="155" t="str">
        <f t="shared" si="0"/>
        <v/>
      </c>
      <c r="E13" s="156"/>
      <c r="F13" s="81" t="str">
        <f t="shared" si="1"/>
        <v/>
      </c>
    </row>
    <row r="14" spans="1:11" x14ac:dyDescent="0.25">
      <c r="A14" s="147"/>
      <c r="B14" s="154"/>
      <c r="C14" s="158"/>
      <c r="D14" s="155" t="str">
        <f t="shared" si="0"/>
        <v/>
      </c>
      <c r="E14" s="156"/>
      <c r="F14" s="81" t="str">
        <f t="shared" si="1"/>
        <v/>
      </c>
    </row>
    <row r="15" spans="1:11" ht="15.75" x14ac:dyDescent="0.25">
      <c r="A15" s="147"/>
      <c r="B15" s="154"/>
      <c r="C15" s="159"/>
      <c r="D15" s="155" t="str">
        <f t="shared" si="0"/>
        <v>audit costs</v>
      </c>
      <c r="E15" s="156"/>
      <c r="F15" s="81" t="str">
        <f t="shared" si="1"/>
        <v/>
      </c>
      <c r="G15" s="106" t="str">
        <f>IF(F16=0,"",F110)</f>
        <v/>
      </c>
    </row>
    <row r="16" spans="1:11" x14ac:dyDescent="0.25">
      <c r="A16" s="148"/>
      <c r="B16" s="160" t="s">
        <v>18</v>
      </c>
      <c r="C16" s="161"/>
      <c r="D16" s="161"/>
      <c r="E16" s="162"/>
      <c r="F16" s="83">
        <f>SUM(F5:F15)</f>
        <v>0</v>
      </c>
    </row>
    <row r="17" spans="1:13" x14ac:dyDescent="0.25">
      <c r="A17" s="163" t="s">
        <v>19</v>
      </c>
      <c r="B17" s="164"/>
      <c r="C17" s="164"/>
      <c r="D17" s="164"/>
      <c r="E17" s="165"/>
      <c r="F17" s="25">
        <f>F4+F16</f>
        <v>120450</v>
      </c>
    </row>
    <row r="18" spans="1:13" x14ac:dyDescent="0.25">
      <c r="A18" s="166" t="s">
        <v>20</v>
      </c>
      <c r="B18" s="167"/>
      <c r="C18" s="167"/>
      <c r="D18" s="167"/>
      <c r="E18" s="168"/>
      <c r="F18" s="26">
        <f>E121</f>
        <v>0</v>
      </c>
    </row>
    <row r="19" spans="1:13" x14ac:dyDescent="0.25">
      <c r="A19" s="166" t="s">
        <v>21</v>
      </c>
      <c r="B19" s="167"/>
      <c r="C19" s="167"/>
      <c r="D19" s="167"/>
      <c r="E19" s="168"/>
      <c r="F19" s="26">
        <f>F17*0.25</f>
        <v>30112.5</v>
      </c>
    </row>
    <row r="20" spans="1:13" x14ac:dyDescent="0.25">
      <c r="A20" s="169" t="s">
        <v>22</v>
      </c>
      <c r="B20" s="170"/>
      <c r="C20" s="170"/>
      <c r="D20" s="170"/>
      <c r="E20" s="171"/>
      <c r="F20" s="27">
        <f>SUM(F17:F19)</f>
        <v>150562.5</v>
      </c>
    </row>
    <row r="21" spans="1:13" x14ac:dyDescent="0.25">
      <c r="A21" s="172" t="s">
        <v>23</v>
      </c>
      <c r="B21" s="173"/>
      <c r="C21" s="173"/>
      <c r="D21" s="173"/>
      <c r="E21" s="174"/>
      <c r="F21" s="28">
        <f>F20</f>
        <v>150562.5</v>
      </c>
    </row>
    <row r="23" spans="1:13" x14ac:dyDescent="0.25">
      <c r="A23" s="175" t="s">
        <v>24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5" spans="1:13" ht="57" customHeight="1" x14ac:dyDescent="0.25">
      <c r="D25" s="99" t="s">
        <v>25</v>
      </c>
      <c r="E25" s="97"/>
      <c r="F25" s="102" t="str">
        <f>IF(E25="","RELLENAR DURACIÓN DEL PROYECTO","")</f>
        <v>RELLENAR DURACIÓN DEL PROYECTO</v>
      </c>
    </row>
    <row r="28" spans="1:13" ht="18.75" x14ac:dyDescent="0.3">
      <c r="C28" s="29" t="s">
        <v>26</v>
      </c>
      <c r="E28" s="30" t="s">
        <v>27</v>
      </c>
      <c r="F28" s="78"/>
    </row>
    <row r="30" spans="1:13" ht="30.75" customHeight="1" x14ac:dyDescent="0.25">
      <c r="C30" s="178" t="s">
        <v>28</v>
      </c>
      <c r="D30" s="179"/>
      <c r="E30" s="103" t="s">
        <v>29</v>
      </c>
      <c r="F30" s="104" t="s">
        <v>30</v>
      </c>
      <c r="G30" s="104" t="s">
        <v>31</v>
      </c>
      <c r="H30" s="105" t="s">
        <v>32</v>
      </c>
    </row>
    <row r="31" spans="1:13" x14ac:dyDescent="0.25">
      <c r="C31" s="180" t="s">
        <v>33</v>
      </c>
      <c r="D31" s="181"/>
      <c r="E31" s="84" t="s">
        <v>34</v>
      </c>
      <c r="F31" s="31">
        <f>IF(E31="","",VLOOKUP(E31,Tablas!$A$2:$B$9,2,FALSE))</f>
        <v>4300</v>
      </c>
      <c r="G31" s="84">
        <v>5</v>
      </c>
      <c r="H31" s="32">
        <f t="shared" ref="H31:H39" si="2">IF(G31="","",F31*G31)</f>
        <v>21500</v>
      </c>
    </row>
    <row r="32" spans="1:13" x14ac:dyDescent="0.25">
      <c r="C32" s="182" t="s">
        <v>35</v>
      </c>
      <c r="D32" s="183"/>
      <c r="E32" s="88" t="s">
        <v>34</v>
      </c>
      <c r="F32" s="38">
        <f>IF(E32="","",VLOOKUP(E32,Tablas!$A$2:$B$9,2,FALSE))</f>
        <v>4300</v>
      </c>
      <c r="G32" s="88">
        <v>2.5</v>
      </c>
      <c r="H32" s="39">
        <f t="shared" si="2"/>
        <v>10750</v>
      </c>
    </row>
    <row r="33" spans="2:11" x14ac:dyDescent="0.25">
      <c r="C33" s="182" t="s">
        <v>36</v>
      </c>
      <c r="D33" s="183"/>
      <c r="E33" s="88" t="s">
        <v>37</v>
      </c>
      <c r="F33" s="38">
        <f>IF(E33="","",VLOOKUP(E33,Tablas!$A$2:$B$9,2,FALSE))</f>
        <v>3000</v>
      </c>
      <c r="G33" s="88">
        <v>3</v>
      </c>
      <c r="H33" s="39">
        <f t="shared" si="2"/>
        <v>9000</v>
      </c>
    </row>
    <row r="34" spans="2:11" x14ac:dyDescent="0.25">
      <c r="C34" s="182"/>
      <c r="D34" s="183"/>
      <c r="E34" s="88"/>
      <c r="F34" s="38" t="str">
        <f>IF(E34="","",VLOOKUP(E34,Tablas!$A$2:$B$9,2,FALSE))</f>
        <v/>
      </c>
      <c r="G34" s="88"/>
      <c r="H34" s="39" t="str">
        <f t="shared" si="2"/>
        <v/>
      </c>
    </row>
    <row r="35" spans="2:11" x14ac:dyDescent="0.25">
      <c r="C35" s="182"/>
      <c r="D35" s="183"/>
      <c r="E35" s="88"/>
      <c r="F35" s="38" t="str">
        <f>IF(E35="","",VLOOKUP(E35,Tablas!$A$2:$B$9,2,FALSE))</f>
        <v/>
      </c>
      <c r="G35" s="88"/>
      <c r="H35" s="39" t="str">
        <f t="shared" si="2"/>
        <v/>
      </c>
    </row>
    <row r="36" spans="2:11" x14ac:dyDescent="0.25">
      <c r="C36" s="182"/>
      <c r="D36" s="183"/>
      <c r="E36" s="88"/>
      <c r="F36" s="38" t="str">
        <f>IF(E36="","",VLOOKUP(E36,Tablas!$A$2:$B$9,2,FALSE))</f>
        <v/>
      </c>
      <c r="G36" s="88"/>
      <c r="H36" s="39" t="str">
        <f t="shared" si="2"/>
        <v/>
      </c>
    </row>
    <row r="37" spans="2:11" x14ac:dyDescent="0.25">
      <c r="C37" s="182"/>
      <c r="D37" s="183"/>
      <c r="E37" s="88"/>
      <c r="F37" s="38" t="str">
        <f>IF(E37="","",VLOOKUP(E37,Tablas!$A$2:$B$9,2,FALSE))</f>
        <v/>
      </c>
      <c r="G37" s="88"/>
      <c r="H37" s="39" t="str">
        <f t="shared" si="2"/>
        <v/>
      </c>
    </row>
    <row r="38" spans="2:11" x14ac:dyDescent="0.25">
      <c r="C38" s="182"/>
      <c r="D38" s="183"/>
      <c r="E38" s="88"/>
      <c r="F38" s="38" t="str">
        <f>IF(E38="","",VLOOKUP(E38,Tablas!$A$2:$B$9,2,FALSE))</f>
        <v/>
      </c>
      <c r="G38" s="88"/>
      <c r="H38" s="39" t="str">
        <f t="shared" si="2"/>
        <v/>
      </c>
    </row>
    <row r="39" spans="2:11" x14ac:dyDescent="0.25">
      <c r="C39" s="184"/>
      <c r="D39" s="185"/>
      <c r="E39" s="85"/>
      <c r="F39" s="40" t="str">
        <f>IF(E39="","",VLOOKUP(E39,Tablas!$A$2:$B$9,2,FALSE))</f>
        <v/>
      </c>
      <c r="G39" s="85"/>
      <c r="H39" s="33" t="str">
        <f t="shared" si="2"/>
        <v/>
      </c>
    </row>
    <row r="40" spans="2:11" x14ac:dyDescent="0.25">
      <c r="C40" s="186" t="s">
        <v>38</v>
      </c>
      <c r="D40" s="187"/>
      <c r="E40" s="34"/>
      <c r="F40" s="35"/>
      <c r="G40" s="36">
        <f>SUM(G31:G39)</f>
        <v>10.5</v>
      </c>
      <c r="H40" s="37">
        <f>SUM(H31:H39)</f>
        <v>41250</v>
      </c>
    </row>
    <row r="41" spans="2:11" ht="30" customHeight="1" x14ac:dyDescent="0.25">
      <c r="C41" s="178" t="s">
        <v>39</v>
      </c>
      <c r="D41" s="179"/>
      <c r="E41" s="103" t="s">
        <v>29</v>
      </c>
      <c r="F41" s="104" t="s">
        <v>30</v>
      </c>
      <c r="G41" s="104" t="s">
        <v>31</v>
      </c>
      <c r="H41" s="105" t="s">
        <v>32</v>
      </c>
      <c r="I41" s="46" t="s">
        <v>40</v>
      </c>
      <c r="J41" s="41" t="s">
        <v>41</v>
      </c>
      <c r="K41" s="42" t="s">
        <v>42</v>
      </c>
    </row>
    <row r="42" spans="2:11" x14ac:dyDescent="0.25">
      <c r="B42" s="45" t="str">
        <f t="shared" ref="B42:B50" si="3">IF(F42="","",IF(F42&lt;I42,"ERROR: coste &lt; min.",IF(F42&gt;J42,"ERROR: coste &gt; max.","")))</f>
        <v/>
      </c>
      <c r="C42" s="182" t="s">
        <v>43</v>
      </c>
      <c r="D42" s="183"/>
      <c r="E42" s="88" t="s">
        <v>44</v>
      </c>
      <c r="F42" s="89">
        <v>2800</v>
      </c>
      <c r="G42" s="88">
        <v>12</v>
      </c>
      <c r="H42" s="39">
        <f t="shared" ref="H42:H50" si="4">IF(G42="","",F42*G42)</f>
        <v>33600</v>
      </c>
      <c r="I42" s="47">
        <f>IF(E42="","",VLOOKUP(E42,Tablas!$A$16:$D$27,2,FALSE))</f>
        <v>2380.25</v>
      </c>
      <c r="J42" s="43">
        <f>IF(E42="","",VLOOKUP(E42,Tablas!$A$16:$D$27,3,FALSE))</f>
        <v>2890.25</v>
      </c>
      <c r="K42" s="44">
        <f>IF(E42="","",VLOOKUP(E42,Tablas!$A$16:$D$27,4,FALSE))</f>
        <v>0</v>
      </c>
    </row>
    <row r="43" spans="2:11" x14ac:dyDescent="0.25">
      <c r="B43" s="45" t="str">
        <f t="shared" si="3"/>
        <v/>
      </c>
      <c r="C43" s="182" t="s">
        <v>45</v>
      </c>
      <c r="D43" s="183"/>
      <c r="E43" s="88" t="s">
        <v>46</v>
      </c>
      <c r="F43" s="89">
        <v>1900</v>
      </c>
      <c r="G43" s="88">
        <v>24</v>
      </c>
      <c r="H43" s="39">
        <f t="shared" si="4"/>
        <v>45600</v>
      </c>
      <c r="I43" s="47">
        <f>IF(E43="","",VLOOKUP(E43,Tablas!$A$16:$D$27,2,FALSE))</f>
        <v>1572.67</v>
      </c>
      <c r="J43" s="43">
        <f>IF(E43="","",VLOOKUP(E43,Tablas!$A$16:$D$27,3,FALSE))</f>
        <v>1955.17</v>
      </c>
      <c r="K43" s="44">
        <f>IF(E43="","",VLOOKUP(E43,Tablas!$A$16:$D$27,4,FALSE))</f>
        <v>0</v>
      </c>
    </row>
    <row r="44" spans="2:11" x14ac:dyDescent="0.25">
      <c r="B44" s="45" t="str">
        <f t="shared" si="3"/>
        <v/>
      </c>
      <c r="C44" s="182"/>
      <c r="D44" s="183"/>
      <c r="E44" s="88"/>
      <c r="F44" s="89"/>
      <c r="G44" s="88"/>
      <c r="H44" s="39" t="str">
        <f t="shared" si="4"/>
        <v/>
      </c>
      <c r="I44" s="47" t="str">
        <f>IF(E44="","",VLOOKUP(E44,Tablas!$A$16:$D$27,2,FALSE))</f>
        <v/>
      </c>
      <c r="J44" s="43" t="str">
        <f>IF(E44="","",VLOOKUP(E44,Tablas!$A$16:$D$27,3,FALSE))</f>
        <v/>
      </c>
      <c r="K44" s="44" t="str">
        <f>IF(E44="","",VLOOKUP(E44,Tablas!$A$16:$D$27,4,FALSE))</f>
        <v/>
      </c>
    </row>
    <row r="45" spans="2:11" x14ac:dyDescent="0.25">
      <c r="B45" s="45" t="str">
        <f t="shared" si="3"/>
        <v/>
      </c>
      <c r="C45" s="182"/>
      <c r="D45" s="183"/>
      <c r="E45" s="88"/>
      <c r="F45" s="89"/>
      <c r="G45" s="88"/>
      <c r="H45" s="39" t="str">
        <f t="shared" si="4"/>
        <v/>
      </c>
      <c r="I45" s="47" t="str">
        <f>IF(E45="","",VLOOKUP(E45,Tablas!$A$16:$D$27,2,FALSE))</f>
        <v/>
      </c>
      <c r="J45" s="43" t="str">
        <f>IF(E45="","",VLOOKUP(E45,Tablas!$A$16:$D$27,3,FALSE))</f>
        <v/>
      </c>
      <c r="K45" s="44" t="str">
        <f>IF(E45="","",VLOOKUP(E45,Tablas!$A$16:$D$27,4,FALSE))</f>
        <v/>
      </c>
    </row>
    <row r="46" spans="2:11" x14ac:dyDescent="0.25">
      <c r="B46" s="45" t="str">
        <f t="shared" si="3"/>
        <v/>
      </c>
      <c r="C46" s="182"/>
      <c r="D46" s="183"/>
      <c r="E46" s="88"/>
      <c r="F46" s="89"/>
      <c r="G46" s="88"/>
      <c r="H46" s="39" t="str">
        <f t="shared" si="4"/>
        <v/>
      </c>
      <c r="I46" s="47" t="str">
        <f>IF(E46="","",VLOOKUP(E46,Tablas!$A$16:$D$27,2,FALSE))</f>
        <v/>
      </c>
      <c r="J46" s="43" t="str">
        <f>IF(E46="","",VLOOKUP(E46,Tablas!$A$16:$D$27,3,FALSE))</f>
        <v/>
      </c>
      <c r="K46" s="44" t="str">
        <f>IF(E46="","",VLOOKUP(E46,Tablas!$A$16:$D$27,4,FALSE))</f>
        <v/>
      </c>
    </row>
    <row r="47" spans="2:11" x14ac:dyDescent="0.25">
      <c r="B47" s="45" t="str">
        <f t="shared" si="3"/>
        <v/>
      </c>
      <c r="C47" s="182"/>
      <c r="D47" s="183"/>
      <c r="E47" s="88"/>
      <c r="F47" s="89"/>
      <c r="G47" s="88"/>
      <c r="H47" s="39" t="str">
        <f t="shared" si="4"/>
        <v/>
      </c>
      <c r="I47" s="47" t="str">
        <f>IF(E47="","",VLOOKUP(E47,Tablas!$A$16:$D$27,2,FALSE))</f>
        <v/>
      </c>
      <c r="J47" s="43" t="str">
        <f>IF(E47="","",VLOOKUP(E47,Tablas!$A$16:$D$27,3,FALSE))</f>
        <v/>
      </c>
      <c r="K47" s="44" t="str">
        <f>IF(E47="","",VLOOKUP(E47,Tablas!$A$16:$D$27,4,FALSE))</f>
        <v/>
      </c>
    </row>
    <row r="48" spans="2:11" x14ac:dyDescent="0.25">
      <c r="B48" s="45" t="str">
        <f t="shared" si="3"/>
        <v/>
      </c>
      <c r="C48" s="182"/>
      <c r="D48" s="183"/>
      <c r="E48" s="88"/>
      <c r="F48" s="89"/>
      <c r="G48" s="88"/>
      <c r="H48" s="39" t="str">
        <f t="shared" si="4"/>
        <v/>
      </c>
      <c r="I48" s="47" t="str">
        <f>IF(E48="","",VLOOKUP(E48,Tablas!$A$16:$D$27,2,FALSE))</f>
        <v/>
      </c>
      <c r="J48" s="43" t="str">
        <f>IF(E48="","",VLOOKUP(E48,Tablas!$A$16:$D$27,3,FALSE))</f>
        <v/>
      </c>
      <c r="K48" s="44" t="str">
        <f>IF(E48="","",VLOOKUP(E48,Tablas!$A$16:$D$27,4,FALSE))</f>
        <v/>
      </c>
    </row>
    <row r="49" spans="2:11" x14ac:dyDescent="0.25">
      <c r="B49" s="45" t="str">
        <f t="shared" si="3"/>
        <v/>
      </c>
      <c r="C49" s="182"/>
      <c r="D49" s="183"/>
      <c r="E49" s="88"/>
      <c r="F49" s="89"/>
      <c r="G49" s="88"/>
      <c r="H49" s="39" t="str">
        <f t="shared" si="4"/>
        <v/>
      </c>
      <c r="I49" s="47" t="str">
        <f>IF(E49="","",VLOOKUP(E49,Tablas!$A$16:$D$27,2,FALSE))</f>
        <v/>
      </c>
      <c r="J49" s="43" t="str">
        <f>IF(E49="","",VLOOKUP(E49,Tablas!$A$16:$D$27,3,FALSE))</f>
        <v/>
      </c>
      <c r="K49" s="44" t="str">
        <f>IF(E49="","",VLOOKUP(E49,Tablas!$A$16:$D$27,4,FALSE))</f>
        <v/>
      </c>
    </row>
    <row r="50" spans="2:11" x14ac:dyDescent="0.25">
      <c r="B50" s="45" t="str">
        <f t="shared" si="3"/>
        <v/>
      </c>
      <c r="C50" s="182"/>
      <c r="D50" s="183"/>
      <c r="E50" s="88"/>
      <c r="F50" s="89"/>
      <c r="G50" s="88"/>
      <c r="H50" s="39" t="str">
        <f t="shared" si="4"/>
        <v/>
      </c>
      <c r="I50" s="47" t="str">
        <f>IF(E50="","",VLOOKUP(E50,Tablas!$A$16:$D$27,2,FALSE))</f>
        <v/>
      </c>
      <c r="J50" s="43" t="str">
        <f>IF(E50="","",VLOOKUP(E50,Tablas!$A$16:$D$27,3,FALSE))</f>
        <v/>
      </c>
      <c r="K50" s="44" t="str">
        <f>IF(E50="","",VLOOKUP(E50,Tablas!$A$16:$D$27,4,FALSE))</f>
        <v/>
      </c>
    </row>
    <row r="51" spans="2:11" x14ac:dyDescent="0.25">
      <c r="C51" s="186" t="s">
        <v>47</v>
      </c>
      <c r="D51" s="187"/>
      <c r="E51" s="34"/>
      <c r="F51" s="35"/>
      <c r="G51" s="36">
        <f>SUM(G42:G50)</f>
        <v>36</v>
      </c>
      <c r="H51" s="37">
        <f>SUM(H42:H50)</f>
        <v>79200</v>
      </c>
    </row>
    <row r="52" spans="2:11" x14ac:dyDescent="0.25">
      <c r="C52" s="188" t="s">
        <v>48</v>
      </c>
      <c r="D52" s="189"/>
      <c r="E52" s="48"/>
      <c r="F52" s="49"/>
      <c r="G52" s="49"/>
      <c r="H52" s="50">
        <f>H40+H51</f>
        <v>120450</v>
      </c>
    </row>
    <row r="54" spans="2:11" ht="18.75" x14ac:dyDescent="0.3">
      <c r="C54" s="29" t="s">
        <v>49</v>
      </c>
    </row>
    <row r="55" spans="2:11" x14ac:dyDescent="0.25">
      <c r="C55" s="190" t="s">
        <v>50</v>
      </c>
      <c r="D55" s="191"/>
      <c r="E55" s="51" t="s">
        <v>51</v>
      </c>
    </row>
    <row r="56" spans="2:11" x14ac:dyDescent="0.25">
      <c r="C56" s="192" t="s">
        <v>52</v>
      </c>
      <c r="D56" s="193"/>
      <c r="E56" s="90"/>
    </row>
    <row r="57" spans="2:11" x14ac:dyDescent="0.25">
      <c r="C57" s="182"/>
      <c r="D57" s="183"/>
      <c r="E57" s="91">
        <v>0</v>
      </c>
    </row>
    <row r="58" spans="2:11" x14ac:dyDescent="0.25">
      <c r="C58" s="182"/>
      <c r="D58" s="183"/>
      <c r="E58" s="90">
        <v>0</v>
      </c>
    </row>
    <row r="59" spans="2:11" x14ac:dyDescent="0.25">
      <c r="C59" s="182"/>
      <c r="D59" s="183"/>
      <c r="E59" s="91">
        <v>0</v>
      </c>
    </row>
    <row r="60" spans="2:11" x14ac:dyDescent="0.25">
      <c r="C60" s="182"/>
      <c r="D60" s="183"/>
      <c r="E60" s="90">
        <v>0</v>
      </c>
    </row>
    <row r="61" spans="2:11" x14ac:dyDescent="0.25">
      <c r="C61" s="184"/>
      <c r="D61" s="185"/>
      <c r="E61" s="91">
        <v>0</v>
      </c>
    </row>
    <row r="62" spans="2:11" x14ac:dyDescent="0.25">
      <c r="C62" s="188" t="s">
        <v>53</v>
      </c>
      <c r="D62" s="189"/>
      <c r="E62" s="52">
        <f>SUM(E56:E61)</f>
        <v>0</v>
      </c>
      <c r="G62" s="53"/>
    </row>
    <row r="64" spans="2:11" ht="18.75" x14ac:dyDescent="0.3">
      <c r="C64" s="29" t="s">
        <v>12</v>
      </c>
      <c r="H64" s="77"/>
    </row>
    <row r="65" spans="3:11" ht="30" x14ac:dyDescent="0.25">
      <c r="C65" s="190" t="s">
        <v>50</v>
      </c>
      <c r="D65" s="191"/>
      <c r="E65" s="14" t="s">
        <v>54</v>
      </c>
      <c r="F65" s="14" t="s">
        <v>55</v>
      </c>
      <c r="G65" s="14" t="s">
        <v>56</v>
      </c>
      <c r="H65" s="14" t="s">
        <v>57</v>
      </c>
      <c r="I65" s="14" t="s">
        <v>58</v>
      </c>
      <c r="J65" s="23" t="s">
        <v>59</v>
      </c>
    </row>
    <row r="66" spans="3:11" ht="28.5" x14ac:dyDescent="0.45">
      <c r="C66" s="192"/>
      <c r="D66" s="193"/>
      <c r="E66" s="84"/>
      <c r="F66" s="87"/>
      <c r="G66" s="100"/>
      <c r="H66" s="87"/>
      <c r="I66" s="31" t="str">
        <f>IF(E66="","",VLOOKUP(E66,Tablas!$F$2:$G$5,2,FALSE))</f>
        <v/>
      </c>
      <c r="J66" s="32" t="str">
        <f>IF(I66="","",IF((E25-F66+1)&gt;I66,ROUND(H66*G66,2),ROUND(G66*(H66*(E25-F66+1)/I66),2)))</f>
        <v/>
      </c>
      <c r="K66" s="98" t="str">
        <f>IF(J66="","",IF(E25="","RELLENAR DURACIÓN DEL PROYECTO",""))</f>
        <v/>
      </c>
    </row>
    <row r="67" spans="3:11" ht="28.5" x14ac:dyDescent="0.45">
      <c r="C67" s="194"/>
      <c r="D67" s="195"/>
      <c r="E67" s="88"/>
      <c r="F67" s="89"/>
      <c r="G67" s="101"/>
      <c r="H67" s="89"/>
      <c r="I67" s="38" t="str">
        <f>IF(E67="","",VLOOKUP(E67,Tablas!$F$2:$G$5,2,FALSE))</f>
        <v/>
      </c>
      <c r="J67" s="39" t="str">
        <f>IF(I67="","",IF((E25-F67+1)&gt;I67,ROUND(H67*G67,2),ROUND(G67*(H67*(E25-F67+1)/I67),2)))</f>
        <v/>
      </c>
      <c r="K67" s="98" t="str">
        <f>IF(J67="","",IF(E25="","RELLENAR DURACIÓN DEL PROYECTO",""))</f>
        <v/>
      </c>
    </row>
    <row r="68" spans="3:11" ht="28.5" x14ac:dyDescent="0.45">
      <c r="C68" s="194"/>
      <c r="D68" s="195"/>
      <c r="E68" s="88"/>
      <c r="F68" s="89"/>
      <c r="G68" s="101"/>
      <c r="H68" s="89"/>
      <c r="I68" s="38" t="str">
        <f>IF(E68="","",VLOOKUP(E68,Tablas!$F$2:$G$5,2,FALSE))</f>
        <v/>
      </c>
      <c r="J68" s="39" t="str">
        <f>IF(I68="","",IF((E25-F68+1)&gt;I68,ROUND(H68*G68,2),ROUND(G68*(H68*(E25-F68+1)/I68),2)))</f>
        <v/>
      </c>
      <c r="K68" s="98" t="str">
        <f>IF(J68="","",IF(E25="","RELLENAR DURACIÓN DEL PROYECTO",""))</f>
        <v/>
      </c>
    </row>
    <row r="69" spans="3:11" ht="28.5" x14ac:dyDescent="0.45">
      <c r="C69" s="194"/>
      <c r="D69" s="195"/>
      <c r="E69" s="88"/>
      <c r="F69" s="89"/>
      <c r="G69" s="101"/>
      <c r="H69" s="89"/>
      <c r="I69" s="38" t="str">
        <f>IF(E69="","",VLOOKUP(E69,Tablas!$F$2:$G$5,2,FALSE))</f>
        <v/>
      </c>
      <c r="J69" s="39" t="str">
        <f>IF(I69="","",IF((E25-F69+1)&gt;I69,ROUND(H69*G69,2),ROUND(G69*(H69*(E25-F69+1)/I69),2)))</f>
        <v/>
      </c>
      <c r="K69" s="98" t="str">
        <f>IF(J69="","",IF(E25="","RELLENAR DURACIÓN DEL PROYECTO",""))</f>
        <v/>
      </c>
    </row>
    <row r="70" spans="3:11" ht="28.5" x14ac:dyDescent="0.45">
      <c r="C70" s="196"/>
      <c r="D70" s="197"/>
      <c r="E70" s="85"/>
      <c r="F70" s="86"/>
      <c r="G70" s="136"/>
      <c r="H70" s="86"/>
      <c r="I70" s="40" t="str">
        <f>IF(E70="","",VLOOKUP(E70,Tablas!$F$2:$G$5,2,FALSE))</f>
        <v/>
      </c>
      <c r="J70" s="33" t="str">
        <f>IF(I70="","",IF((E25-F70+1)&gt;I70,ROUND(H70*G70,2),ROUND(G70*(H70*(E25-F70+1)/I70),2)))</f>
        <v/>
      </c>
      <c r="K70" s="98" t="str">
        <f>IF(J70="","",IF(E25="","RELLENAR DURACIÓN DEL PROYECTO",""))</f>
        <v/>
      </c>
    </row>
    <row r="71" spans="3:11" x14ac:dyDescent="0.25">
      <c r="C71" s="198" t="s">
        <v>60</v>
      </c>
      <c r="D71" s="199"/>
      <c r="E71" s="55"/>
      <c r="F71" s="56"/>
      <c r="G71" s="56"/>
      <c r="H71" s="54">
        <f>SUM(H66:H70)</f>
        <v>0</v>
      </c>
      <c r="I71" s="55"/>
      <c r="J71" s="57">
        <f>SUM(J66:J70)</f>
        <v>0</v>
      </c>
    </row>
    <row r="72" spans="3:11" x14ac:dyDescent="0.25">
      <c r="I72" s="1" t="s">
        <v>61</v>
      </c>
      <c r="J72" s="58">
        <f>H71-J71</f>
        <v>0</v>
      </c>
    </row>
    <row r="75" spans="3:11" x14ac:dyDescent="0.25">
      <c r="C75" s="59" t="s">
        <v>62</v>
      </c>
      <c r="D75" s="60"/>
      <c r="E75" s="60"/>
      <c r="F75" s="60"/>
      <c r="G75" s="60"/>
      <c r="H75" s="60"/>
      <c r="I75" s="61"/>
    </row>
    <row r="76" spans="3:11" x14ac:dyDescent="0.25">
      <c r="C76" s="62" t="s">
        <v>63</v>
      </c>
      <c r="D76" s="63" t="s">
        <v>64</v>
      </c>
      <c r="E76" s="63"/>
      <c r="F76" s="63"/>
      <c r="G76" s="63"/>
      <c r="H76" s="63"/>
      <c r="I76" s="64"/>
    </row>
    <row r="77" spans="3:11" x14ac:dyDescent="0.25">
      <c r="C77" s="65" t="s">
        <v>63</v>
      </c>
      <c r="D77" s="66" t="s">
        <v>65</v>
      </c>
      <c r="E77" s="66"/>
      <c r="F77" s="66"/>
      <c r="G77" s="66"/>
      <c r="H77" s="66"/>
      <c r="I77" s="67"/>
    </row>
    <row r="79" spans="3:11" ht="18.75" x14ac:dyDescent="0.3">
      <c r="C79" s="29" t="s">
        <v>66</v>
      </c>
    </row>
    <row r="80" spans="3:11" x14ac:dyDescent="0.25">
      <c r="C80" s="190" t="s">
        <v>50</v>
      </c>
      <c r="D80" s="191"/>
      <c r="E80" s="51" t="s">
        <v>51</v>
      </c>
    </row>
    <row r="81" spans="3:9" x14ac:dyDescent="0.25">
      <c r="C81" s="180" t="s">
        <v>67</v>
      </c>
      <c r="D81" s="181"/>
      <c r="E81" s="90"/>
    </row>
    <row r="82" spans="3:9" x14ac:dyDescent="0.25">
      <c r="C82" s="182"/>
      <c r="D82" s="183"/>
      <c r="E82" s="91"/>
    </row>
    <row r="83" spans="3:9" x14ac:dyDescent="0.25">
      <c r="C83" s="182"/>
      <c r="D83" s="183"/>
      <c r="E83" s="90"/>
    </row>
    <row r="84" spans="3:9" x14ac:dyDescent="0.25">
      <c r="C84" s="182"/>
      <c r="D84" s="183"/>
      <c r="E84" s="91"/>
    </row>
    <row r="85" spans="3:9" x14ac:dyDescent="0.25">
      <c r="C85" s="182"/>
      <c r="D85" s="183"/>
      <c r="E85" s="90"/>
    </row>
    <row r="86" spans="3:9" x14ac:dyDescent="0.25">
      <c r="C86" s="184"/>
      <c r="D86" s="185"/>
      <c r="E86" s="91"/>
    </row>
    <row r="87" spans="3:9" x14ac:dyDescent="0.25">
      <c r="C87" s="188" t="s">
        <v>68</v>
      </c>
      <c r="D87" s="189"/>
      <c r="E87" s="52">
        <f>SUM(E81:E86)</f>
        <v>0</v>
      </c>
    </row>
    <row r="92" spans="3:9" ht="18.75" x14ac:dyDescent="0.3">
      <c r="C92" s="29" t="s">
        <v>69</v>
      </c>
    </row>
    <row r="93" spans="3:9" ht="30" x14ac:dyDescent="0.25">
      <c r="C93" s="190" t="s">
        <v>50</v>
      </c>
      <c r="D93" s="191"/>
      <c r="E93" s="51" t="s">
        <v>51</v>
      </c>
      <c r="G93" s="68" t="s">
        <v>70</v>
      </c>
      <c r="H93" s="69" t="s">
        <v>71</v>
      </c>
      <c r="I93" s="70" t="s">
        <v>72</v>
      </c>
    </row>
    <row r="94" spans="3:9" x14ac:dyDescent="0.25">
      <c r="C94" s="180"/>
      <c r="D94" s="181"/>
      <c r="E94" s="90"/>
      <c r="G94" s="92">
        <v>1000</v>
      </c>
      <c r="H94" s="93">
        <v>3</v>
      </c>
      <c r="I94" s="71">
        <f>G94*H94</f>
        <v>3000</v>
      </c>
    </row>
    <row r="95" spans="3:9" x14ac:dyDescent="0.25">
      <c r="C95" s="182"/>
      <c r="D95" s="183"/>
      <c r="E95" s="91"/>
      <c r="G95" s="94">
        <v>1500</v>
      </c>
      <c r="H95" s="88">
        <v>20</v>
      </c>
      <c r="I95" s="72">
        <f>G95*H95</f>
        <v>30000</v>
      </c>
    </row>
    <row r="96" spans="3:9" x14ac:dyDescent="0.25">
      <c r="C96" s="182"/>
      <c r="D96" s="183"/>
      <c r="E96" s="90"/>
      <c r="G96" s="95">
        <v>3000</v>
      </c>
      <c r="H96" s="96"/>
      <c r="I96" s="73">
        <f>G96*H96</f>
        <v>0</v>
      </c>
    </row>
    <row r="97" spans="3:9" x14ac:dyDescent="0.25">
      <c r="C97" s="182"/>
      <c r="D97" s="183"/>
      <c r="E97" s="91"/>
      <c r="G97" s="74" t="s">
        <v>60</v>
      </c>
      <c r="H97" s="75">
        <f>SUM(H94:H96)</f>
        <v>23</v>
      </c>
      <c r="I97" s="76">
        <f>SUM(I94:I96)</f>
        <v>33000</v>
      </c>
    </row>
    <row r="98" spans="3:9" x14ac:dyDescent="0.25">
      <c r="C98" s="182"/>
      <c r="D98" s="183"/>
      <c r="E98" s="90"/>
    </row>
    <row r="99" spans="3:9" x14ac:dyDescent="0.25">
      <c r="C99" s="184"/>
      <c r="D99" s="185"/>
      <c r="E99" s="91"/>
    </row>
    <row r="100" spans="3:9" x14ac:dyDescent="0.25">
      <c r="C100" s="188" t="s">
        <v>73</v>
      </c>
      <c r="D100" s="189"/>
      <c r="E100" s="52">
        <f>SUM(E94:E99)</f>
        <v>0</v>
      </c>
    </row>
    <row r="102" spans="3:9" ht="18.75" x14ac:dyDescent="0.3">
      <c r="C102" s="29" t="s">
        <v>74</v>
      </c>
    </row>
    <row r="103" spans="3:9" x14ac:dyDescent="0.25">
      <c r="C103" s="190" t="s">
        <v>50</v>
      </c>
      <c r="D103" s="191"/>
      <c r="E103" s="51" t="s">
        <v>51</v>
      </c>
    </row>
    <row r="104" spans="3:9" x14ac:dyDescent="0.25">
      <c r="C104" s="192"/>
      <c r="D104" s="193"/>
      <c r="E104" s="90"/>
    </row>
    <row r="105" spans="3:9" x14ac:dyDescent="0.25">
      <c r="C105" s="194"/>
      <c r="D105" s="195"/>
      <c r="E105" s="91"/>
    </row>
    <row r="106" spans="3:9" x14ac:dyDescent="0.25">
      <c r="C106" s="194"/>
      <c r="D106" s="195"/>
      <c r="E106" s="90"/>
    </row>
    <row r="107" spans="3:9" x14ac:dyDescent="0.25">
      <c r="C107" s="194"/>
      <c r="D107" s="195"/>
      <c r="E107" s="90"/>
    </row>
    <row r="108" spans="3:9" x14ac:dyDescent="0.25">
      <c r="C108" s="194"/>
      <c r="D108" s="195"/>
      <c r="E108" s="91"/>
    </row>
    <row r="109" spans="3:9" x14ac:dyDescent="0.25">
      <c r="C109" s="194"/>
      <c r="D109" s="195"/>
      <c r="E109" s="90"/>
      <c r="H109" s="77"/>
      <c r="I109" s="1" t="str">
        <f>IF(F17&gt;325000,"Coste Estimado","")</f>
        <v/>
      </c>
    </row>
    <row r="110" spans="3:9" ht="15.75" x14ac:dyDescent="0.25">
      <c r="C110" s="196" t="s">
        <v>75</v>
      </c>
      <c r="D110" s="197"/>
      <c r="E110" s="91"/>
      <c r="F110" s="106" t="str">
        <f>IF(F17&gt;325000,"Es necesario auditar","PROYECTO NO AUDITADO")</f>
        <v>PROYECTO NO AUDITADO</v>
      </c>
      <c r="I110" s="53" t="str">
        <f>IF(F17&gt;325000,IF(F16&gt;1200000,6000,IF(F16&gt;600000,4000,2000)),"")</f>
        <v/>
      </c>
    </row>
    <row r="111" spans="3:9" x14ac:dyDescent="0.25">
      <c r="C111" s="188" t="s">
        <v>76</v>
      </c>
      <c r="D111" s="189"/>
      <c r="E111" s="52">
        <f>SUM(E104:E110)</f>
        <v>0</v>
      </c>
    </row>
    <row r="113" spans="3:5" x14ac:dyDescent="0.25">
      <c r="E113" s="53"/>
    </row>
    <row r="114" spans="3:5" x14ac:dyDescent="0.25">
      <c r="C114" s="188" t="s">
        <v>77</v>
      </c>
      <c r="D114" s="189"/>
      <c r="E114" s="51" t="s">
        <v>51</v>
      </c>
    </row>
    <row r="115" spans="3:5" x14ac:dyDescent="0.25">
      <c r="C115" s="192"/>
      <c r="D115" s="193"/>
      <c r="E115" s="90">
        <v>0</v>
      </c>
    </row>
    <row r="116" spans="3:5" x14ac:dyDescent="0.25">
      <c r="C116" s="194"/>
      <c r="D116" s="195"/>
      <c r="E116" s="91">
        <v>0</v>
      </c>
    </row>
    <row r="117" spans="3:5" x14ac:dyDescent="0.25">
      <c r="C117" s="194"/>
      <c r="D117" s="195"/>
      <c r="E117" s="91">
        <v>0</v>
      </c>
    </row>
    <row r="118" spans="3:5" x14ac:dyDescent="0.25">
      <c r="C118" s="194"/>
      <c r="D118" s="183"/>
      <c r="E118" s="91">
        <v>0</v>
      </c>
    </row>
    <row r="119" spans="3:5" x14ac:dyDescent="0.25">
      <c r="C119" s="182"/>
      <c r="D119" s="183"/>
      <c r="E119" s="91">
        <v>0</v>
      </c>
    </row>
    <row r="120" spans="3:5" x14ac:dyDescent="0.25">
      <c r="C120" s="184"/>
      <c r="D120" s="185"/>
      <c r="E120" s="91">
        <v>0</v>
      </c>
    </row>
    <row r="121" spans="3:5" x14ac:dyDescent="0.25">
      <c r="C121" s="188" t="s">
        <v>76</v>
      </c>
      <c r="D121" s="189"/>
      <c r="E121" s="52">
        <f>SUM(E115:E120)</f>
        <v>0</v>
      </c>
    </row>
  </sheetData>
  <sheetProtection password="9338" sheet="1" objects="1" scenarios="1"/>
  <mergeCells count="97">
    <mergeCell ref="C121:D121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4:D114"/>
    <mergeCell ref="C115:D115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3:D103"/>
    <mergeCell ref="C87:D87"/>
    <mergeCell ref="C93:D93"/>
    <mergeCell ref="C94:D94"/>
    <mergeCell ref="C95:D95"/>
    <mergeCell ref="C96:D96"/>
    <mergeCell ref="C82:D82"/>
    <mergeCell ref="C83:D83"/>
    <mergeCell ref="C84:D84"/>
    <mergeCell ref="C85:D85"/>
    <mergeCell ref="C86:D86"/>
    <mergeCell ref="C69:D69"/>
    <mergeCell ref="C70:D70"/>
    <mergeCell ref="C71:D71"/>
    <mergeCell ref="C80:D80"/>
    <mergeCell ref="C81:D81"/>
    <mergeCell ref="C62:D62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50:D50"/>
    <mergeCell ref="C51:D51"/>
    <mergeCell ref="C52:D52"/>
    <mergeCell ref="C55:D55"/>
    <mergeCell ref="C56:D56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A18:E18"/>
    <mergeCell ref="A19:E19"/>
    <mergeCell ref="A20:E20"/>
    <mergeCell ref="A21:E21"/>
    <mergeCell ref="A23:M23"/>
    <mergeCell ref="D13:E13"/>
    <mergeCell ref="D14:E14"/>
    <mergeCell ref="D15:E15"/>
    <mergeCell ref="B16:E16"/>
    <mergeCell ref="A17:E17"/>
    <mergeCell ref="A1:E1"/>
    <mergeCell ref="C2:E2"/>
    <mergeCell ref="B2:B3"/>
    <mergeCell ref="A2:A16"/>
    <mergeCell ref="C3:E3"/>
    <mergeCell ref="B4:E4"/>
    <mergeCell ref="C5:E5"/>
    <mergeCell ref="B5:B15"/>
    <mergeCell ref="C6:E6"/>
    <mergeCell ref="C7:E7"/>
    <mergeCell ref="C8:E8"/>
    <mergeCell ref="D9:E9"/>
    <mergeCell ref="C9:C15"/>
    <mergeCell ref="D10:E10"/>
    <mergeCell ref="D11:E11"/>
    <mergeCell ref="D12:E12"/>
  </mergeCells>
  <conditionalFormatting sqref="H1">
    <cfRule type="cellIs" dxfId="1" priority="1" operator="equal">
      <formula>"NO VIABLE ECONÓMICAMENTE"</formula>
    </cfRule>
  </conditionalFormatting>
  <conditionalFormatting sqref="H1">
    <cfRule type="cellIs" dxfId="0" priority="2" operator="equal">
      <formula>"PROYECTO VIABLE"</formula>
    </cfRule>
  </conditionalFormatting>
  <dataValidations count="1">
    <dataValidation type="whole" allowBlank="1" showInputMessage="1" showErrorMessage="1" errorTitle="duración errónea" error="Incluir un valor entero entre 1 a 72" sqref="E25">
      <formula1>1</formula1>
      <formula2>72</formula2>
    </dataValidation>
  </dataValidations>
  <pageMargins left="0.7" right="0.7" top="0.75" bottom="0.75" header="0.3" footer="0.3"/>
  <pageSetup paperSize="9" fitToWidth="0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Categoría" prompt="Seleccionar Categoría">
          <x14:formula1>
            <xm:f>Tablas!$A$2:$A$9</xm:f>
          </x14:formula1>
          <xm:sqref>E31:E39</xm:sqref>
        </x14:dataValidation>
        <x14:dataValidation type="list" allowBlank="1" showInputMessage="1" showErrorMessage="1" promptTitle="Categoría" prompt="Seleccionar categoría">
          <x14:formula1>
            <xm:f>Tablas!$A$16:$A$27</xm:f>
          </x14:formula1>
          <xm:sqref>E42 E46:E50</xm:sqref>
        </x14:dataValidation>
        <x14:dataValidation type="list" allowBlank="1" showInputMessage="1" showErrorMessage="1" promptTitle="Categoría" prompt="Seleccionar categoría">
          <x14:formula1>
            <xm:f>Tablas!$A$16:$A$27</xm:f>
          </x14:formula1>
          <xm:sqref>E43</xm:sqref>
        </x14:dataValidation>
        <x14:dataValidation type="list" allowBlank="1" showInputMessage="1" showErrorMessage="1" promptTitle="Categoría" prompt="Seleccionar categoría">
          <x14:formula1>
            <xm:f>Tablas!$A$16:$A$27</xm:f>
          </x14:formula1>
          <xm:sqref>E44</xm:sqref>
        </x14:dataValidation>
        <x14:dataValidation type="list" allowBlank="1" showInputMessage="1" showErrorMessage="1" promptTitle="Categoría" prompt="Seleccionar categoría">
          <x14:formula1>
            <xm:f>Tablas!$A$16:$A$27</xm:f>
          </x14:formula1>
          <xm:sqref>E45</xm:sqref>
        </x14:dataValidation>
        <x14:dataValidation type="list" allowBlank="1" showInputMessage="1" showErrorMessage="1" promptTitle="Tipo Equipo" prompt="Seleccionar tipo equipo">
          <x14:formula1>
            <xm:f>Tablas!$F$2:$F$5</xm:f>
          </x14:formula1>
          <xm:sqref>E66:E70</xm:sqref>
        </x14:dataValidation>
      </x14:dataValidations>
    </ext>
    <ext uri="smNativeData">
      <pm:sheetPrefs xmlns:pm="smNativeData" day="159221797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126"/>
  <sheetViews>
    <sheetView showGridLines="0" showRowColHeaders="0" workbookViewId="0">
      <selection activeCell="M9" sqref="M9"/>
    </sheetView>
  </sheetViews>
  <sheetFormatPr baseColWidth="10" defaultColWidth="11.42578125" defaultRowHeight="15" x14ac:dyDescent="0.25"/>
  <cols>
    <col min="1" max="1" width="11.42578125" style="1" customWidth="1"/>
    <col min="2" max="16384" width="11.42578125" style="1"/>
  </cols>
  <sheetData>
    <row r="9" spans="2:2" ht="18.75" x14ac:dyDescent="0.3">
      <c r="B9" s="29" t="s">
        <v>78</v>
      </c>
    </row>
    <row r="29" spans="2:2" ht="18.75" x14ac:dyDescent="0.3">
      <c r="B29" s="29" t="s">
        <v>79</v>
      </c>
    </row>
    <row r="52" spans="2:2" ht="18.75" x14ac:dyDescent="0.3">
      <c r="B52" s="29" t="s">
        <v>80</v>
      </c>
    </row>
    <row r="63" spans="2:2" ht="18.75" x14ac:dyDescent="0.3">
      <c r="B63" s="29" t="s">
        <v>81</v>
      </c>
    </row>
    <row r="87" spans="2:2" ht="18.75" x14ac:dyDescent="0.3">
      <c r="B87" s="29" t="s">
        <v>82</v>
      </c>
    </row>
    <row r="95" spans="2:2" ht="18.75" x14ac:dyDescent="0.3">
      <c r="B95" s="29" t="s">
        <v>83</v>
      </c>
    </row>
    <row r="105" spans="2:2" ht="18.75" x14ac:dyDescent="0.3">
      <c r="B105" s="29" t="s">
        <v>84</v>
      </c>
    </row>
    <row r="126" spans="2:2" ht="18.75" x14ac:dyDescent="0.3">
      <c r="B126" s="29" t="s">
        <v>85</v>
      </c>
    </row>
  </sheetData>
  <sheetProtection algorithmName="SHA-512" hashValue="jVV3gfK4LH1P6/LYVKsMNXEi86HJgxFPCO6NZqqUXsWJpGEoXc5xxntazVZmjRngEgpoFqxaLTfdE95dK75O1w==" saltValue="2WLbMM0bC+L5WOlwsAzPEw==" spinCount="100000" sheet="1" autoFilter="0"/>
  <pageMargins left="0.7" right="0.7" top="0.75" bottom="0.75" header="0.3" footer="0.3"/>
  <pageSetup paperSize="9" fitToWidth="0" pageOrder="overThenDown"/>
  <drawing r:id="rId1"/>
  <extLst>
    <ext uri="smNativeData">
      <pm:sheetPrefs xmlns:pm="smNativeData" day="1592217974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showGridLines="0" showRowColHeaders="0" zoomScale="85" workbookViewId="0">
      <selection activeCell="C31" sqref="C31:D31"/>
    </sheetView>
  </sheetViews>
  <sheetFormatPr baseColWidth="10" defaultColWidth="10.7109375" defaultRowHeight="15" x14ac:dyDescent="0.25"/>
  <cols>
    <col min="1" max="1" width="1.7109375" customWidth="1"/>
    <col min="2" max="2" width="27" customWidth="1"/>
    <col min="3" max="3" width="8.140625" customWidth="1"/>
    <col min="4" max="11" width="16" customWidth="1"/>
    <col min="12" max="14" width="14.140625" customWidth="1"/>
  </cols>
  <sheetData>
    <row r="2" spans="2:14" ht="18.75" x14ac:dyDescent="0.3">
      <c r="B2" s="110" t="s">
        <v>86</v>
      </c>
      <c r="C2" s="200" t="s">
        <v>87</v>
      </c>
      <c r="D2" s="200"/>
      <c r="E2" s="200"/>
      <c r="F2" s="200"/>
    </row>
    <row r="3" spans="2:14" ht="18.75" x14ac:dyDescent="0.3">
      <c r="B3" s="110" t="s">
        <v>88</v>
      </c>
      <c r="C3" s="200"/>
      <c r="D3" s="200"/>
      <c r="E3" s="200"/>
      <c r="F3" s="200"/>
    </row>
    <row r="4" spans="2:14" ht="18.75" x14ac:dyDescent="0.3">
      <c r="B4" s="110" t="s">
        <v>89</v>
      </c>
      <c r="C4" s="200"/>
      <c r="D4" s="200"/>
      <c r="E4" s="200"/>
      <c r="F4" s="200"/>
    </row>
    <row r="6" spans="2:14" ht="5.25" customHeight="1" x14ac:dyDescent="0.25"/>
    <row r="7" spans="2:14" s="112" customFormat="1" ht="126.75" customHeight="1" x14ac:dyDescent="0.25">
      <c r="B7" s="111" t="s">
        <v>90</v>
      </c>
      <c r="C7" s="111" t="s">
        <v>91</v>
      </c>
      <c r="D7" s="111" t="s">
        <v>92</v>
      </c>
      <c r="E7" s="111" t="s">
        <v>93</v>
      </c>
      <c r="F7" s="111" t="s">
        <v>94</v>
      </c>
      <c r="G7" s="111" t="s">
        <v>95</v>
      </c>
      <c r="H7" s="111" t="s">
        <v>96</v>
      </c>
      <c r="I7" s="111" t="s">
        <v>97</v>
      </c>
      <c r="J7" s="111" t="s">
        <v>98</v>
      </c>
      <c r="K7" s="111" t="s">
        <v>99</v>
      </c>
      <c r="L7" s="111" t="s">
        <v>100</v>
      </c>
      <c r="M7" s="111" t="s">
        <v>101</v>
      </c>
      <c r="N7" s="111" t="s">
        <v>102</v>
      </c>
    </row>
    <row r="8" spans="2:14" s="118" customFormat="1" ht="29.25" customHeight="1" x14ac:dyDescent="0.25">
      <c r="B8" s="113" t="s">
        <v>103</v>
      </c>
      <c r="C8" s="114" t="s">
        <v>104</v>
      </c>
      <c r="D8" s="115">
        <f>Presupuesto!F4</f>
        <v>120450</v>
      </c>
      <c r="E8" s="115">
        <f>Presupuesto!F16</f>
        <v>0</v>
      </c>
      <c r="F8" s="115">
        <f>Presupuesto!F18</f>
        <v>0</v>
      </c>
      <c r="G8" s="115">
        <v>0</v>
      </c>
      <c r="H8" s="115">
        <v>0</v>
      </c>
      <c r="I8" s="116">
        <f>(SUM(D8:E8)-H8)*0.25</f>
        <v>30112.5</v>
      </c>
      <c r="J8" s="115">
        <v>0</v>
      </c>
      <c r="K8" s="116">
        <f>SUM(D8,E8,F8,G8,I8,J8)</f>
        <v>150562.5</v>
      </c>
      <c r="L8" s="117">
        <v>1</v>
      </c>
      <c r="M8" s="116">
        <f>K8*L8</f>
        <v>150562.5</v>
      </c>
      <c r="N8" s="115">
        <f>M8</f>
        <v>150562.5</v>
      </c>
    </row>
    <row r="9" spans="2:14" ht="15.75" customHeight="1" x14ac:dyDescent="0.25"/>
    <row r="10" spans="2:14" x14ac:dyDescent="0.25">
      <c r="B10" s="201" t="s">
        <v>105</v>
      </c>
      <c r="C10" s="202"/>
      <c r="D10" s="203"/>
      <c r="E10" s="120" t="s">
        <v>106</v>
      </c>
    </row>
    <row r="11" spans="2:14" x14ac:dyDescent="0.25">
      <c r="B11" s="204" t="str">
        <f>IF(Presupuesto!G31&gt;0,Presupuesto!C31,"")</f>
        <v>Name of IP</v>
      </c>
      <c r="C11" s="205"/>
      <c r="D11" s="206"/>
      <c r="E11" s="121">
        <f>IF(B11="","-",Presupuesto!G31)</f>
        <v>5</v>
      </c>
    </row>
    <row r="12" spans="2:14" x14ac:dyDescent="0.25">
      <c r="B12" s="207" t="str">
        <f>IF(Presupuesto!G32&gt;0,Presupuesto!C32,"")</f>
        <v>Senior Staff 2</v>
      </c>
      <c r="C12" s="208"/>
      <c r="D12" s="209"/>
      <c r="E12" s="122">
        <f>IF(B12="","-",Presupuesto!G32)</f>
        <v>2.5</v>
      </c>
    </row>
    <row r="13" spans="2:14" x14ac:dyDescent="0.25">
      <c r="B13" s="207" t="str">
        <f>IF(Presupuesto!G33&gt;0,Presupuesto!C33,"")</f>
        <v>Senior Staff 3</v>
      </c>
      <c r="C13" s="208"/>
      <c r="D13" s="209"/>
      <c r="E13" s="122">
        <f>IF(B13="","-",Presupuesto!G33)</f>
        <v>3</v>
      </c>
    </row>
    <row r="14" spans="2:14" x14ac:dyDescent="0.25">
      <c r="B14" s="207" t="str">
        <f>IF(Presupuesto!G34&gt;0,Presupuesto!C34,"")</f>
        <v/>
      </c>
      <c r="C14" s="208"/>
      <c r="D14" s="209"/>
      <c r="E14" s="122" t="str">
        <f>IF(B14="","-",Presupuesto!G34)</f>
        <v>-</v>
      </c>
    </row>
    <row r="15" spans="2:14" x14ac:dyDescent="0.25">
      <c r="B15" s="207" t="str">
        <f>IF(Presupuesto!G35&gt;0,Presupuesto!C35,"")</f>
        <v/>
      </c>
      <c r="C15" s="208"/>
      <c r="D15" s="209"/>
      <c r="E15" s="122" t="str">
        <f>IF(B15="","-",Presupuesto!G35)</f>
        <v>-</v>
      </c>
    </row>
    <row r="16" spans="2:14" x14ac:dyDescent="0.25">
      <c r="B16" s="207" t="str">
        <f>IF(Presupuesto!G36&gt;0,Presupuesto!C36,"")</f>
        <v/>
      </c>
      <c r="C16" s="208"/>
      <c r="D16" s="209"/>
      <c r="E16" s="122" t="str">
        <f>IF(B16="","-",Presupuesto!G36)</f>
        <v>-</v>
      </c>
    </row>
    <row r="17" spans="2:5" x14ac:dyDescent="0.25">
      <c r="B17" s="207" t="str">
        <f>IF(Presupuesto!G37&gt;0,Presupuesto!C37,"")</f>
        <v/>
      </c>
      <c r="C17" s="208"/>
      <c r="D17" s="209"/>
      <c r="E17" s="122" t="str">
        <f>IF(B17="","-",Presupuesto!G37)</f>
        <v>-</v>
      </c>
    </row>
    <row r="18" spans="2:5" x14ac:dyDescent="0.25">
      <c r="B18" s="207" t="str">
        <f>IF(Presupuesto!G38&gt;0,Presupuesto!C38,"")</f>
        <v/>
      </c>
      <c r="C18" s="208"/>
      <c r="D18" s="209"/>
      <c r="E18" s="122" t="str">
        <f>IF(B18="","-",Presupuesto!G38)</f>
        <v>-</v>
      </c>
    </row>
    <row r="19" spans="2:5" x14ac:dyDescent="0.25">
      <c r="B19" s="210" t="str">
        <f>IF(Presupuesto!G39&gt;0,Presupuesto!C39,"")</f>
        <v/>
      </c>
      <c r="C19" s="211"/>
      <c r="D19" s="212"/>
      <c r="E19" s="123" t="str">
        <f>IF(B19="","-",Presupuesto!G39)</f>
        <v>-</v>
      </c>
    </row>
    <row r="20" spans="2:5" x14ac:dyDescent="0.25">
      <c r="B20" s="213" t="str">
        <f>IF(Presupuesto!G42&gt;0,Presupuesto!C42,"")</f>
        <v>Post-Doc-1</v>
      </c>
      <c r="C20" s="214"/>
      <c r="D20" s="215"/>
      <c r="E20" s="124">
        <f>IF(B20="","-",Presupuesto!G42)</f>
        <v>12</v>
      </c>
    </row>
    <row r="21" spans="2:5" x14ac:dyDescent="0.25">
      <c r="B21" s="216" t="str">
        <f>IF(Presupuesto!G43&gt;0,Presupuesto!C43,"")</f>
        <v>Student</v>
      </c>
      <c r="C21" s="217"/>
      <c r="D21" s="218"/>
      <c r="E21" s="125">
        <f>IF(B21="","-",Presupuesto!G43)</f>
        <v>24</v>
      </c>
    </row>
    <row r="22" spans="2:5" x14ac:dyDescent="0.25">
      <c r="B22" s="216" t="str">
        <f>IF(Presupuesto!G44&gt;0,Presupuesto!C44,"")</f>
        <v/>
      </c>
      <c r="C22" s="217"/>
      <c r="D22" s="218"/>
      <c r="E22" s="125" t="str">
        <f>IF(B22="","-",Presupuesto!G44)</f>
        <v>-</v>
      </c>
    </row>
    <row r="23" spans="2:5" x14ac:dyDescent="0.25">
      <c r="B23" s="216" t="str">
        <f>IF(Presupuesto!G45&gt;0,Presupuesto!C45,"")</f>
        <v/>
      </c>
      <c r="C23" s="217"/>
      <c r="D23" s="218"/>
      <c r="E23" s="125" t="str">
        <f>IF(B23="","-",Presupuesto!G45)</f>
        <v>-</v>
      </c>
    </row>
    <row r="24" spans="2:5" x14ac:dyDescent="0.25">
      <c r="B24" s="216" t="str">
        <f>IF(Presupuesto!G46&gt;0,Presupuesto!C46,"")</f>
        <v/>
      </c>
      <c r="C24" s="217"/>
      <c r="D24" s="218"/>
      <c r="E24" s="125" t="str">
        <f>IF(B24="","-",Presupuesto!G46)</f>
        <v>-</v>
      </c>
    </row>
    <row r="25" spans="2:5" x14ac:dyDescent="0.25">
      <c r="B25" s="216" t="str">
        <f>IF(Presupuesto!G47&gt;0,Presupuesto!C47,"")</f>
        <v/>
      </c>
      <c r="C25" s="217"/>
      <c r="D25" s="218"/>
      <c r="E25" s="125" t="str">
        <f>IF(B25="","-",Presupuesto!G47)</f>
        <v>-</v>
      </c>
    </row>
    <row r="26" spans="2:5" x14ac:dyDescent="0.25">
      <c r="B26" s="216" t="str">
        <f>IF(Presupuesto!G48&gt;0,Presupuesto!C48,"")</f>
        <v/>
      </c>
      <c r="C26" s="217"/>
      <c r="D26" s="218"/>
      <c r="E26" s="125" t="str">
        <f>IF(B26="","-",Presupuesto!G48)</f>
        <v>-</v>
      </c>
    </row>
    <row r="27" spans="2:5" x14ac:dyDescent="0.25">
      <c r="B27" s="216" t="str">
        <f>IF(Presupuesto!G49&gt;0,Presupuesto!C49,"")</f>
        <v/>
      </c>
      <c r="C27" s="217"/>
      <c r="D27" s="218"/>
      <c r="E27" s="125" t="str">
        <f>IF(B27="","-",Presupuesto!G49)</f>
        <v>-</v>
      </c>
    </row>
    <row r="28" spans="2:5" x14ac:dyDescent="0.25">
      <c r="B28" s="219" t="str">
        <f>IF(Presupuesto!G50&gt;0,Presupuesto!C50,"")</f>
        <v/>
      </c>
      <c r="C28" s="220"/>
      <c r="D28" s="221"/>
      <c r="E28" s="125" t="str">
        <f>IF(B28="","-",Presupuesto!G50)</f>
        <v>-</v>
      </c>
    </row>
    <row r="29" spans="2:5" x14ac:dyDescent="0.25">
      <c r="D29" s="127" t="s">
        <v>107</v>
      </c>
      <c r="E29" s="126">
        <f>IF(SUM(E11:E28)&lt;&gt;0,SUM(E11:E28),"-")</f>
        <v>46.5</v>
      </c>
    </row>
    <row r="31" spans="2:5" x14ac:dyDescent="0.25">
      <c r="B31" s="119" t="s">
        <v>108</v>
      </c>
      <c r="C31" s="222">
        <f>IF(E29&lt;&gt;0,D8/E29,"-")</f>
        <v>2590.3225806451615</v>
      </c>
      <c r="D31" s="223"/>
    </row>
  </sheetData>
  <sheetProtection algorithmName="SHA-512" hashValue="L9JsWHTlYVLP5nARh8UqN+zOY7dmENzhXDuE8XRWeY4z6bvr/ec+DH4Dd12eF8hqigTvNGSVgMNU+msA0OPrQw==" saltValue="MnX4ldqKHQ8Ud2ZCMS0uTw==" spinCount="100000" sheet="1" autoFilter="0"/>
  <mergeCells count="23">
    <mergeCell ref="B27:D27"/>
    <mergeCell ref="B28:D28"/>
    <mergeCell ref="C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C2:F2"/>
    <mergeCell ref="C3:F3"/>
    <mergeCell ref="C4:F4"/>
    <mergeCell ref="B10:D10"/>
    <mergeCell ref="B11:D11"/>
  </mergeCells>
  <pageMargins left="0.7" right="0.7" top="0.75" bottom="0.75" header="0.3" footer="0.3"/>
  <pageSetup paperSize="9" fitToWidth="0" pageOrder="overThenDown"/>
  <extLst>
    <ext uri="smNativeData">
      <pm:sheetPrefs xmlns:pm="smNativeData" day="1592217974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32" style="1" customWidth="1"/>
    <col min="2" max="3" width="11.42578125" style="1" customWidth="1"/>
    <col min="4" max="4" width="87.5703125" style="1" customWidth="1"/>
    <col min="5" max="5" width="11.42578125" style="1" customWidth="1"/>
    <col min="6" max="6" width="15.42578125" style="1" customWidth="1"/>
    <col min="7" max="7" width="12.85546875" style="1" customWidth="1"/>
    <col min="8" max="8" width="11.42578125" style="1" customWidth="1"/>
    <col min="9" max="16384" width="11.42578125" style="1"/>
  </cols>
  <sheetData>
    <row r="1" spans="1:8" ht="30" x14ac:dyDescent="0.25">
      <c r="A1" s="2" t="s">
        <v>109</v>
      </c>
      <c r="B1" s="3" t="s">
        <v>110</v>
      </c>
      <c r="C1" s="4" t="s">
        <v>111</v>
      </c>
      <c r="F1" s="135" t="s">
        <v>112</v>
      </c>
      <c r="G1" s="134" t="s">
        <v>113</v>
      </c>
    </row>
    <row r="2" spans="1:8" x14ac:dyDescent="0.25">
      <c r="A2" s="5" t="s">
        <v>114</v>
      </c>
      <c r="B2" s="6">
        <v>2700</v>
      </c>
      <c r="C2" s="7">
        <f t="shared" ref="C2:C9" si="0">ROUND(B2*12/$B$11,2)</f>
        <v>145.94999999999999</v>
      </c>
      <c r="F2" s="133" t="s">
        <v>115</v>
      </c>
      <c r="G2" s="133">
        <f>4*12</f>
        <v>48</v>
      </c>
    </row>
    <row r="3" spans="1:8" x14ac:dyDescent="0.25">
      <c r="A3" s="5" t="s">
        <v>37</v>
      </c>
      <c r="B3" s="6">
        <v>3000</v>
      </c>
      <c r="C3" s="7">
        <f t="shared" si="0"/>
        <v>162.16</v>
      </c>
      <c r="F3" s="6" t="s">
        <v>116</v>
      </c>
      <c r="G3" s="6">
        <f>5*12</f>
        <v>60</v>
      </c>
    </row>
    <row r="4" spans="1:8" x14ac:dyDescent="0.25">
      <c r="A4" s="5" t="s">
        <v>117</v>
      </c>
      <c r="B4" s="6">
        <f>ROUND(40000/12,2)</f>
        <v>3333.33</v>
      </c>
      <c r="C4" s="7">
        <f t="shared" si="0"/>
        <v>180.18</v>
      </c>
      <c r="F4" s="6" t="s">
        <v>118</v>
      </c>
      <c r="G4" s="6">
        <f>8*12</f>
        <v>96</v>
      </c>
    </row>
    <row r="5" spans="1:8" x14ac:dyDescent="0.25">
      <c r="A5" s="5" t="s">
        <v>119</v>
      </c>
      <c r="B5" s="6">
        <v>3700</v>
      </c>
      <c r="C5" s="7">
        <f t="shared" si="0"/>
        <v>200</v>
      </c>
    </row>
    <row r="6" spans="1:8" x14ac:dyDescent="0.25">
      <c r="A6" s="5" t="s">
        <v>120</v>
      </c>
      <c r="B6" s="6">
        <v>4150</v>
      </c>
      <c r="C6" s="7">
        <f t="shared" si="0"/>
        <v>224.32</v>
      </c>
    </row>
    <row r="7" spans="1:8" x14ac:dyDescent="0.25">
      <c r="A7" s="5" t="s">
        <v>34</v>
      </c>
      <c r="B7" s="6">
        <v>4300</v>
      </c>
      <c r="C7" s="7">
        <f t="shared" si="0"/>
        <v>232.43</v>
      </c>
    </row>
    <row r="8" spans="1:8" x14ac:dyDescent="0.25">
      <c r="A8" s="5" t="s">
        <v>121</v>
      </c>
      <c r="B8" s="6">
        <f>ROUND(55000/12,2)</f>
        <v>4583.33</v>
      </c>
      <c r="C8" s="7">
        <f t="shared" si="0"/>
        <v>247.75</v>
      </c>
    </row>
    <row r="9" spans="1:8" x14ac:dyDescent="0.25">
      <c r="A9" s="8" t="s">
        <v>122</v>
      </c>
      <c r="B9" s="10">
        <v>5750</v>
      </c>
      <c r="C9" s="9">
        <f t="shared" si="0"/>
        <v>310.81</v>
      </c>
    </row>
    <row r="10" spans="1:8" x14ac:dyDescent="0.25">
      <c r="D10" s="1">
        <f>55000/12</f>
        <v>4583.333333333333</v>
      </c>
    </row>
    <row r="11" spans="1:8" x14ac:dyDescent="0.25">
      <c r="A11" s="11" t="s">
        <v>123</v>
      </c>
      <c r="B11" s="12">
        <v>222</v>
      </c>
      <c r="D11" s="1">
        <f>ROUND(40000/12,2)</f>
        <v>3333.33</v>
      </c>
    </row>
    <row r="14" spans="1:8" x14ac:dyDescent="0.25">
      <c r="B14" s="13" t="s">
        <v>124</v>
      </c>
      <c r="E14" s="13" t="s">
        <v>125</v>
      </c>
    </row>
    <row r="15" spans="1:8" ht="30" x14ac:dyDescent="0.25">
      <c r="A15" s="134" t="s">
        <v>109</v>
      </c>
      <c r="B15" s="134" t="s">
        <v>40</v>
      </c>
      <c r="C15" s="134" t="s">
        <v>41</v>
      </c>
      <c r="D15" s="134" t="s">
        <v>42</v>
      </c>
      <c r="E15" s="134" t="s">
        <v>40</v>
      </c>
      <c r="F15" s="134" t="s">
        <v>41</v>
      </c>
      <c r="G15" s="1" t="s">
        <v>126</v>
      </c>
    </row>
    <row r="16" spans="1:8" x14ac:dyDescent="0.25">
      <c r="A16" s="130" t="s">
        <v>127</v>
      </c>
      <c r="B16" s="131">
        <f t="shared" ref="B16:B27" si="1">ROUND(E16/12,2)</f>
        <v>1275.17</v>
      </c>
      <c r="C16" s="131">
        <f t="shared" ref="C16:C27" si="2">ROUND(F16/12,2)</f>
        <v>1530.17</v>
      </c>
      <c r="D16" s="132" t="s">
        <v>128</v>
      </c>
      <c r="E16" s="133">
        <v>15302</v>
      </c>
      <c r="F16" s="133">
        <v>18362</v>
      </c>
      <c r="G16" s="15">
        <v>1250</v>
      </c>
      <c r="H16" s="15">
        <v>1500</v>
      </c>
    </row>
    <row r="17" spans="1:8" x14ac:dyDescent="0.25">
      <c r="A17" s="16" t="s">
        <v>129</v>
      </c>
      <c r="B17" s="17">
        <f t="shared" si="1"/>
        <v>1360.17</v>
      </c>
      <c r="C17" s="17">
        <f t="shared" si="2"/>
        <v>1530.17</v>
      </c>
      <c r="D17" s="128"/>
      <c r="E17" s="6">
        <v>16322</v>
      </c>
      <c r="F17" s="6">
        <v>18362</v>
      </c>
      <c r="G17" s="17">
        <v>1333.33</v>
      </c>
      <c r="H17" s="17">
        <v>1500</v>
      </c>
    </row>
    <row r="18" spans="1:8" ht="30" x14ac:dyDescent="0.25">
      <c r="A18" s="16" t="s">
        <v>130</v>
      </c>
      <c r="B18" s="17">
        <f t="shared" si="1"/>
        <v>1530.17</v>
      </c>
      <c r="C18" s="17">
        <f t="shared" si="2"/>
        <v>1700.17</v>
      </c>
      <c r="D18" s="128" t="s">
        <v>131</v>
      </c>
      <c r="E18" s="6">
        <v>18362</v>
      </c>
      <c r="F18" s="6">
        <v>20402</v>
      </c>
      <c r="G18" s="17">
        <v>1500</v>
      </c>
      <c r="H18" s="17">
        <v>1666.67</v>
      </c>
    </row>
    <row r="19" spans="1:8" ht="30" x14ac:dyDescent="0.25">
      <c r="A19" s="16" t="s">
        <v>132</v>
      </c>
      <c r="B19" s="17">
        <f t="shared" si="1"/>
        <v>1530.17</v>
      </c>
      <c r="C19" s="17">
        <f t="shared" si="2"/>
        <v>1700.17</v>
      </c>
      <c r="D19" s="128"/>
      <c r="E19" s="6">
        <v>18362</v>
      </c>
      <c r="F19" s="6">
        <v>20402</v>
      </c>
      <c r="G19" s="17">
        <v>1541.67</v>
      </c>
      <c r="H19" s="17">
        <v>1916.67</v>
      </c>
    </row>
    <row r="20" spans="1:8" x14ac:dyDescent="0.25">
      <c r="A20" s="16" t="s">
        <v>46</v>
      </c>
      <c r="B20" s="17">
        <f t="shared" si="1"/>
        <v>1572.67</v>
      </c>
      <c r="C20" s="17">
        <f t="shared" si="2"/>
        <v>1955.17</v>
      </c>
      <c r="D20" s="128"/>
      <c r="E20" s="6">
        <v>18872</v>
      </c>
      <c r="F20" s="6">
        <v>23462</v>
      </c>
      <c r="G20" s="17">
        <v>1541.67</v>
      </c>
      <c r="H20" s="17">
        <v>1916.67</v>
      </c>
    </row>
    <row r="21" spans="1:8" x14ac:dyDescent="0.25">
      <c r="A21" s="16" t="s">
        <v>133</v>
      </c>
      <c r="B21" s="17">
        <f t="shared" si="1"/>
        <v>2125.25</v>
      </c>
      <c r="C21" s="17">
        <f t="shared" si="2"/>
        <v>2550.25</v>
      </c>
      <c r="D21" s="128" t="s">
        <v>134</v>
      </c>
      <c r="E21" s="6">
        <v>25503</v>
      </c>
      <c r="F21" s="6">
        <v>30603</v>
      </c>
      <c r="G21" s="17">
        <v>2083.33</v>
      </c>
      <c r="H21" s="17">
        <v>2500</v>
      </c>
    </row>
    <row r="22" spans="1:8" x14ac:dyDescent="0.25">
      <c r="A22" s="16" t="s">
        <v>135</v>
      </c>
      <c r="B22" s="17">
        <f t="shared" si="1"/>
        <v>2125.25</v>
      </c>
      <c r="C22" s="17">
        <f t="shared" si="2"/>
        <v>2550.25</v>
      </c>
      <c r="D22" s="128" t="s">
        <v>136</v>
      </c>
      <c r="E22" s="6">
        <v>25503</v>
      </c>
      <c r="F22" s="6">
        <v>30603</v>
      </c>
      <c r="G22" s="17">
        <v>2083.33</v>
      </c>
      <c r="H22" s="17">
        <v>2500</v>
      </c>
    </row>
    <row r="23" spans="1:8" x14ac:dyDescent="0.25">
      <c r="A23" s="16" t="s">
        <v>44</v>
      </c>
      <c r="B23" s="17">
        <f t="shared" si="1"/>
        <v>2380.25</v>
      </c>
      <c r="C23" s="17">
        <f t="shared" si="2"/>
        <v>2890.25</v>
      </c>
      <c r="D23" s="128"/>
      <c r="E23" s="6">
        <v>28563</v>
      </c>
      <c r="F23" s="6">
        <v>34683</v>
      </c>
      <c r="G23" s="17">
        <v>2333.33</v>
      </c>
      <c r="H23" s="17">
        <v>2833.33</v>
      </c>
    </row>
    <row r="24" spans="1:8" x14ac:dyDescent="0.25">
      <c r="A24" s="16" t="s">
        <v>137</v>
      </c>
      <c r="B24" s="17">
        <f t="shared" si="1"/>
        <v>2890.25</v>
      </c>
      <c r="C24" s="17">
        <f t="shared" si="2"/>
        <v>3230.33</v>
      </c>
      <c r="D24" s="128" t="s">
        <v>138</v>
      </c>
      <c r="E24" s="6">
        <v>34683</v>
      </c>
      <c r="F24" s="6">
        <v>38764</v>
      </c>
      <c r="G24" s="17">
        <v>2833.33</v>
      </c>
      <c r="H24" s="17">
        <v>3166.67</v>
      </c>
    </row>
    <row r="25" spans="1:8" ht="30" x14ac:dyDescent="0.25">
      <c r="A25" s="16" t="s">
        <v>139</v>
      </c>
      <c r="B25" s="17">
        <f t="shared" si="1"/>
        <v>3740.33</v>
      </c>
      <c r="C25" s="17">
        <f t="shared" si="2"/>
        <v>4080.42</v>
      </c>
      <c r="D25" s="128" t="s">
        <v>140</v>
      </c>
      <c r="E25" s="6">
        <v>44884</v>
      </c>
      <c r="F25" s="6">
        <v>48965</v>
      </c>
      <c r="G25" s="17">
        <v>3666.67</v>
      </c>
      <c r="H25" s="17">
        <v>4000</v>
      </c>
    </row>
    <row r="26" spans="1:8" ht="75" x14ac:dyDescent="0.25">
      <c r="A26" s="16" t="s">
        <v>141</v>
      </c>
      <c r="B26" s="17">
        <f t="shared" si="1"/>
        <v>4250.42</v>
      </c>
      <c r="C26" s="17">
        <f t="shared" si="2"/>
        <v>4590.42</v>
      </c>
      <c r="D26" s="128" t="s">
        <v>142</v>
      </c>
      <c r="E26" s="6">
        <v>51005</v>
      </c>
      <c r="F26" s="6">
        <v>55085</v>
      </c>
      <c r="G26" s="17">
        <v>4166.67</v>
      </c>
      <c r="H26" s="17">
        <v>4500</v>
      </c>
    </row>
    <row r="27" spans="1:8" ht="45" x14ac:dyDescent="0.25">
      <c r="A27" s="19" t="s">
        <v>143</v>
      </c>
      <c r="B27" s="20">
        <f t="shared" si="1"/>
        <v>5100.5</v>
      </c>
      <c r="C27" s="20">
        <f t="shared" si="2"/>
        <v>5950.58</v>
      </c>
      <c r="D27" s="129" t="s">
        <v>144</v>
      </c>
      <c r="E27" s="10">
        <v>61206</v>
      </c>
      <c r="F27" s="10">
        <v>71407</v>
      </c>
      <c r="G27" s="20">
        <v>5000</v>
      </c>
      <c r="H27" s="20">
        <v>5833.33</v>
      </c>
    </row>
    <row r="30" spans="1:8" x14ac:dyDescent="0.25">
      <c r="B30" s="13" t="s">
        <v>145</v>
      </c>
    </row>
    <row r="31" spans="1:8" ht="30" x14ac:dyDescent="0.25">
      <c r="A31" s="22" t="s">
        <v>109</v>
      </c>
      <c r="B31" s="14" t="s">
        <v>40</v>
      </c>
      <c r="C31" s="14" t="s">
        <v>41</v>
      </c>
      <c r="D31" s="23" t="s">
        <v>42</v>
      </c>
    </row>
    <row r="32" spans="1:8" x14ac:dyDescent="0.25">
      <c r="A32" s="16" t="s">
        <v>127</v>
      </c>
      <c r="B32" s="17">
        <f t="shared" ref="B32:C34" si="3">ROUND(B16*12/$B$11,2)</f>
        <v>68.930000000000007</v>
      </c>
      <c r="C32" s="17">
        <f t="shared" si="3"/>
        <v>82.71</v>
      </c>
      <c r="D32" s="18" t="s">
        <v>128</v>
      </c>
    </row>
    <row r="33" spans="1:4" x14ac:dyDescent="0.25">
      <c r="A33" s="16" t="s">
        <v>129</v>
      </c>
      <c r="B33" s="17">
        <f t="shared" si="3"/>
        <v>73.52</v>
      </c>
      <c r="C33" s="17">
        <f t="shared" si="3"/>
        <v>82.71</v>
      </c>
      <c r="D33" s="18" t="s">
        <v>146</v>
      </c>
    </row>
    <row r="34" spans="1:4" x14ac:dyDescent="0.25">
      <c r="A34" s="16" t="s">
        <v>130</v>
      </c>
      <c r="B34" s="17">
        <f t="shared" si="3"/>
        <v>82.71</v>
      </c>
      <c r="C34" s="17">
        <f t="shared" si="3"/>
        <v>91.9</v>
      </c>
      <c r="D34" s="18" t="s">
        <v>147</v>
      </c>
    </row>
    <row r="35" spans="1:4" x14ac:dyDescent="0.25">
      <c r="A35" s="16" t="s">
        <v>46</v>
      </c>
      <c r="B35" s="17">
        <f t="shared" ref="B35:C42" si="4">ROUND(B20*12/$B$11,2)</f>
        <v>85.01</v>
      </c>
      <c r="C35" s="17">
        <f t="shared" si="4"/>
        <v>105.68</v>
      </c>
      <c r="D35" s="18" t="s">
        <v>148</v>
      </c>
    </row>
    <row r="36" spans="1:4" x14ac:dyDescent="0.25">
      <c r="A36" s="16" t="s">
        <v>133</v>
      </c>
      <c r="B36" s="17">
        <f t="shared" si="4"/>
        <v>114.88</v>
      </c>
      <c r="C36" s="17">
        <f t="shared" si="4"/>
        <v>137.85</v>
      </c>
      <c r="D36" s="18" t="s">
        <v>134</v>
      </c>
    </row>
    <row r="37" spans="1:4" x14ac:dyDescent="0.25">
      <c r="A37" s="16" t="s">
        <v>135</v>
      </c>
      <c r="B37" s="17">
        <f t="shared" si="4"/>
        <v>114.88</v>
      </c>
      <c r="C37" s="17">
        <f t="shared" si="4"/>
        <v>137.85</v>
      </c>
      <c r="D37" s="18" t="s">
        <v>136</v>
      </c>
    </row>
    <row r="38" spans="1:4" x14ac:dyDescent="0.25">
      <c r="A38" s="16" t="s">
        <v>44</v>
      </c>
      <c r="B38" s="17">
        <f t="shared" si="4"/>
        <v>128.66</v>
      </c>
      <c r="C38" s="17">
        <f t="shared" si="4"/>
        <v>156.22999999999999</v>
      </c>
      <c r="D38" s="18" t="s">
        <v>148</v>
      </c>
    </row>
    <row r="39" spans="1:4" x14ac:dyDescent="0.25">
      <c r="A39" s="16" t="s">
        <v>137</v>
      </c>
      <c r="B39" s="17">
        <f t="shared" si="4"/>
        <v>156.22999999999999</v>
      </c>
      <c r="C39" s="17">
        <f t="shared" si="4"/>
        <v>174.61</v>
      </c>
      <c r="D39" s="18" t="s">
        <v>138</v>
      </c>
    </row>
    <row r="40" spans="1:4" ht="30" x14ac:dyDescent="0.25">
      <c r="A40" s="16" t="s">
        <v>139</v>
      </c>
      <c r="B40" s="17">
        <f t="shared" si="4"/>
        <v>202.18</v>
      </c>
      <c r="C40" s="17">
        <f t="shared" si="4"/>
        <v>220.56</v>
      </c>
      <c r="D40" s="18" t="s">
        <v>140</v>
      </c>
    </row>
    <row r="41" spans="1:4" ht="75" x14ac:dyDescent="0.25">
      <c r="A41" s="16" t="s">
        <v>141</v>
      </c>
      <c r="B41" s="17">
        <f t="shared" si="4"/>
        <v>229.75</v>
      </c>
      <c r="C41" s="17">
        <f t="shared" si="4"/>
        <v>248.13</v>
      </c>
      <c r="D41" s="18" t="s">
        <v>142</v>
      </c>
    </row>
    <row r="42" spans="1:4" ht="45" x14ac:dyDescent="0.25">
      <c r="A42" s="19" t="s">
        <v>143</v>
      </c>
      <c r="B42" s="20">
        <f t="shared" si="4"/>
        <v>275.7</v>
      </c>
      <c r="C42" s="20">
        <f t="shared" si="4"/>
        <v>321.64999999999998</v>
      </c>
      <c r="D42" s="21" t="s">
        <v>144</v>
      </c>
    </row>
  </sheetData>
  <pageMargins left="0.7" right="0.7" top="0.75" bottom="0.75" header="0.3" footer="0.3"/>
  <pageSetup paperSize="9" fitToWidth="0"/>
  <extLst>
    <ext uri="smNativeData">
      <pm:sheetPrefs xmlns:pm="smNativeData" day="159221797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B6" sqref="B6"/>
    </sheetView>
  </sheetViews>
  <sheetFormatPr baseColWidth="10" defaultColWidth="11.42578125" defaultRowHeight="15" x14ac:dyDescent="0.25"/>
  <cols>
    <col min="1" max="2" width="11.42578125" style="1" customWidth="1"/>
    <col min="3" max="3" width="135" style="1" customWidth="1"/>
    <col min="4" max="4" width="11.42578125" style="1" customWidth="1"/>
    <col min="5" max="16384" width="11.42578125" style="1"/>
  </cols>
  <sheetData>
    <row r="3" spans="2:3" x14ac:dyDescent="0.25">
      <c r="B3" s="135" t="s">
        <v>149</v>
      </c>
      <c r="C3" s="135" t="s">
        <v>150</v>
      </c>
    </row>
    <row r="4" spans="2:3" x14ac:dyDescent="0.25">
      <c r="B4" s="6" t="s">
        <v>151</v>
      </c>
      <c r="C4" s="6" t="s">
        <v>152</v>
      </c>
    </row>
    <row r="5" spans="2:3" x14ac:dyDescent="0.25">
      <c r="B5" s="6">
        <v>4.3</v>
      </c>
      <c r="C5" s="6" t="s">
        <v>153</v>
      </c>
    </row>
    <row r="6" spans="2:3" x14ac:dyDescent="0.25">
      <c r="B6" s="6"/>
      <c r="C6" s="6"/>
    </row>
    <row r="7" spans="2:3" x14ac:dyDescent="0.25">
      <c r="B7" s="6"/>
      <c r="C7" s="6"/>
    </row>
    <row r="8" spans="2:3" x14ac:dyDescent="0.25">
      <c r="B8" s="6"/>
      <c r="C8" s="6"/>
    </row>
    <row r="9" spans="2:3" x14ac:dyDescent="0.25">
      <c r="B9" s="6"/>
      <c r="C9" s="6"/>
    </row>
  </sheetData>
  <pageMargins left="0.7" right="0.7" top="0.75" bottom="0.75" header="0.3" footer="0.3"/>
  <pageSetup paperSize="9" fitToWidth="0"/>
  <extLst>
    <ext uri="smNativeData">
      <pm:sheetPrefs xmlns:pm="smNativeData" day="159221797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</vt:lpstr>
      <vt:lpstr>Instrucciones</vt:lpstr>
      <vt:lpstr>Form A.3</vt:lpstr>
      <vt:lpstr>Tablas</vt:lpstr>
      <vt:lpstr>Historico versiones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</dc:creator>
  <cp:keywords/>
  <dc:description/>
  <cp:lastModifiedBy>ayala</cp:lastModifiedBy>
  <cp:revision>0</cp:revision>
  <dcterms:created xsi:type="dcterms:W3CDTF">2016-08-24T12:08:12Z</dcterms:created>
  <dcterms:modified xsi:type="dcterms:W3CDTF">2020-06-15T11:15:18Z</dcterms:modified>
</cp:coreProperties>
</file>